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heckCompatibility="1" defaultThemeVersion="124226"/>
  <bookViews>
    <workbookView xWindow="0" yWindow="0" windowWidth="28770" windowHeight="12360"/>
  </bookViews>
  <sheets>
    <sheet name="край" sheetId="4" r:id="rId1"/>
    <sheet name="Бюдж роспись КБ" sheetId="5" r:id="rId2"/>
    <sheet name="Роспись фед" sheetId="6" r:id="rId3"/>
    <sheet name="доведение ФБ" sheetId="7" r:id="rId4"/>
    <sheet name="КБ+ФБ по соглашению" sheetId="1" r:id="rId5"/>
    <sheet name="показ результ Соглашение МСХ" sheetId="12" r:id="rId6"/>
    <sheet name="доведение ФБ для ВКС" sheetId="17" r:id="rId7"/>
    <sheet name="Лист3" sheetId="15" r:id="rId8"/>
    <sheet name="Лист1" sheetId="16" r:id="rId9"/>
  </sheets>
  <definedNames>
    <definedName name="_xlnm._FilterDatabase" localSheetId="1" hidden="1">'Бюдж роспись КБ'!$A$14:$BR$185</definedName>
    <definedName name="_xlnm._FilterDatabase" localSheetId="4" hidden="1">'КБ+ФБ по соглашению'!$A$4:$WWB$88</definedName>
    <definedName name="_xlnm._FilterDatabase" localSheetId="0" hidden="1">край!$A$8:$R$186</definedName>
    <definedName name="_xlnm.Print_Titles" localSheetId="1">'Бюдж роспись КБ'!$A:$G,'Бюдж роспись КБ'!$5:$7</definedName>
    <definedName name="_xlnm.Print_Titles" localSheetId="3">'доведение ФБ'!$4:$6</definedName>
    <definedName name="_xlnm.Print_Titles" localSheetId="6">'доведение ФБ для ВКС'!$4:$6</definedName>
    <definedName name="_xlnm.Print_Titles" localSheetId="4">'КБ+ФБ по соглашению'!$3:$4</definedName>
    <definedName name="_xlnm.Print_Titles" localSheetId="0">край!$A:$A,край!$5:$6</definedName>
    <definedName name="_xlnm.Print_Titles" localSheetId="5">'показ результ Соглашение МСХ'!$4:$6</definedName>
    <definedName name="_xlnm.Print_Titles" localSheetId="2">'Роспись фед'!$A:$B,'Роспись фед'!$4:$5</definedName>
    <definedName name="_xlnm.Print_Area" localSheetId="1">'Бюдж роспись КБ'!$A$1:$BD$249</definedName>
    <definedName name="_xlnm.Print_Area" localSheetId="3">'доведение ФБ'!$A$1:$K$40</definedName>
    <definedName name="_xlnm.Print_Area" localSheetId="6">'доведение ФБ для ВКС'!$A$1:$H$45</definedName>
    <definedName name="_xlnm.Print_Area" localSheetId="4">'КБ+ФБ по соглашению'!$A$1:$S$93</definedName>
    <definedName name="_xlnm.Print_Area" localSheetId="0">край!$A$1:$R$185</definedName>
    <definedName name="_xlnm.Print_Area" localSheetId="5">'показ результ Соглашение МСХ'!$A$1:$L$38</definedName>
    <definedName name="_xlnm.Print_Area" localSheetId="2">'Роспись фед'!$A$1:$AC$60</definedName>
  </definedNames>
  <calcPr calcId="145621"/>
</workbook>
</file>

<file path=xl/calcChain.xml><?xml version="1.0" encoding="utf-8"?>
<calcChain xmlns="http://schemas.openxmlformats.org/spreadsheetml/2006/main">
  <c r="AL118" i="5" l="1"/>
  <c r="R50" i="6"/>
  <c r="U49" i="1" l="1"/>
  <c r="AF65" i="5" l="1"/>
  <c r="AF66" i="5"/>
  <c r="AF67" i="5"/>
  <c r="AF68" i="5"/>
  <c r="V7" i="1"/>
  <c r="H127" i="5"/>
  <c r="H126" i="5"/>
  <c r="H224" i="5"/>
  <c r="H89" i="5"/>
  <c r="BD89" i="5"/>
  <c r="S38" i="6"/>
  <c r="AM198" i="5"/>
  <c r="K198" i="5"/>
  <c r="I198" i="5"/>
  <c r="J198" i="5" s="1"/>
  <c r="K197" i="5"/>
  <c r="I197" i="5"/>
  <c r="J197" i="5"/>
  <c r="T82" i="1"/>
  <c r="S8" i="6"/>
  <c r="K98" i="5" l="1"/>
  <c r="I98" i="5"/>
  <c r="J98" i="5" s="1"/>
  <c r="I94" i="5"/>
  <c r="J94" i="5" s="1"/>
  <c r="H35" i="17" l="1"/>
  <c r="H32" i="17"/>
  <c r="AL82" i="5" l="1"/>
  <c r="AL81" i="5"/>
  <c r="AL80" i="5"/>
  <c r="AL79" i="5"/>
  <c r="S31" i="6"/>
  <c r="F31" i="6" s="1"/>
  <c r="D30" i="6"/>
  <c r="E30" i="6" s="1"/>
  <c r="F30" i="6"/>
  <c r="G30" i="6"/>
  <c r="D31" i="6"/>
  <c r="G31" i="6" s="1"/>
  <c r="E31" i="6" l="1"/>
  <c r="AK236" i="5"/>
  <c r="AL236" i="5"/>
  <c r="AN236" i="5"/>
  <c r="AO236" i="5"/>
  <c r="AP236" i="5"/>
  <c r="AR236" i="5"/>
  <c r="AS236" i="5"/>
  <c r="AT236" i="5"/>
  <c r="AV236" i="5"/>
  <c r="AW236" i="5"/>
  <c r="AX236" i="5"/>
  <c r="AZ236" i="5"/>
  <c r="BA236" i="5"/>
  <c r="BB236" i="5"/>
  <c r="BD236" i="5"/>
  <c r="AJ236" i="5"/>
  <c r="K224" i="5"/>
  <c r="I224" i="5"/>
  <c r="J224" i="5" s="1"/>
  <c r="F41" i="6"/>
  <c r="U58" i="1"/>
  <c r="S39" i="6" l="1"/>
  <c r="S12" i="6"/>
  <c r="S24" i="6"/>
  <c r="H43" i="17" l="1"/>
  <c r="H38" i="17"/>
  <c r="H23" i="17" l="1"/>
  <c r="G28" i="17"/>
  <c r="G31" i="17" l="1"/>
  <c r="H30" i="17"/>
  <c r="H29" i="17"/>
  <c r="H28" i="17"/>
  <c r="H18" i="17"/>
  <c r="H19" i="17"/>
  <c r="H20" i="17"/>
  <c r="H17" i="17"/>
  <c r="H12" i="17"/>
  <c r="H14" i="17"/>
  <c r="H15" i="17"/>
  <c r="H10" i="17"/>
  <c r="G9" i="17"/>
  <c r="G8" i="17" s="1"/>
  <c r="G36" i="17" l="1"/>
  <c r="G45" i="17" s="1"/>
  <c r="I123" i="5" l="1"/>
  <c r="J123" i="5" s="1"/>
  <c r="K123" i="5"/>
  <c r="BL123" i="5"/>
  <c r="I222" i="5" l="1"/>
  <c r="J222" i="5" s="1"/>
  <c r="K222" i="5"/>
  <c r="K221" i="5"/>
  <c r="I221" i="5"/>
  <c r="J221" i="5" s="1"/>
  <c r="AM222" i="5"/>
  <c r="AM221" i="5"/>
  <c r="P50" i="6" l="1"/>
  <c r="U88" i="1" l="1"/>
  <c r="T88" i="1"/>
  <c r="D12" i="4" l="1"/>
  <c r="E13" i="4"/>
  <c r="AM45" i="5" l="1"/>
  <c r="AM46" i="5"/>
  <c r="AM47" i="5"/>
  <c r="AM48" i="5"/>
  <c r="AM24" i="5"/>
  <c r="AM25" i="5"/>
  <c r="AM26" i="5"/>
  <c r="AM27" i="5"/>
  <c r="AM28" i="5"/>
  <c r="AM29" i="5"/>
  <c r="AM30" i="5"/>
  <c r="AM31" i="5"/>
  <c r="AM32" i="5"/>
  <c r="AM33" i="5"/>
  <c r="E12" i="4" l="1"/>
  <c r="AM63" i="5" l="1"/>
  <c r="AM64" i="5"/>
  <c r="AM65" i="5"/>
  <c r="AM66" i="5"/>
  <c r="T85" i="1" l="1"/>
  <c r="AM201" i="5"/>
  <c r="AM202" i="5"/>
  <c r="AM193" i="5"/>
  <c r="AM199" i="5"/>
  <c r="AM200" i="5"/>
  <c r="AM196" i="5"/>
  <c r="H68" i="5" l="1"/>
  <c r="H67" i="5"/>
  <c r="H66" i="5"/>
  <c r="H65" i="5"/>
  <c r="H139" i="5"/>
  <c r="H138" i="5"/>
  <c r="H136" i="5"/>
  <c r="H137" i="5"/>
  <c r="AG185" i="5"/>
  <c r="AF185" i="5"/>
  <c r="AG181" i="5"/>
  <c r="AF181" i="5"/>
  <c r="AG180" i="5"/>
  <c r="AF180" i="5"/>
  <c r="AG179" i="5"/>
  <c r="AF179" i="5"/>
  <c r="AG178" i="5"/>
  <c r="AF178" i="5"/>
  <c r="AG153" i="5"/>
  <c r="AF153" i="5"/>
  <c r="AG152" i="5"/>
  <c r="AF152" i="5"/>
  <c r="AG138" i="5"/>
  <c r="AF138" i="5"/>
  <c r="AG136" i="5"/>
  <c r="AF136" i="5"/>
  <c r="AG128" i="5"/>
  <c r="AF128" i="5"/>
  <c r="AG120" i="5"/>
  <c r="AF120" i="5"/>
  <c r="AG119" i="5"/>
  <c r="AF119" i="5"/>
  <c r="AG118" i="5"/>
  <c r="AF118" i="5"/>
  <c r="AG117" i="5"/>
  <c r="AF117" i="5"/>
  <c r="AG68" i="5"/>
  <c r="AG67" i="5"/>
  <c r="AG66" i="5"/>
  <c r="AG65" i="5"/>
  <c r="AG50" i="5"/>
  <c r="AF50" i="5"/>
  <c r="AG41" i="5"/>
  <c r="AF41" i="5"/>
  <c r="AG40" i="5"/>
  <c r="AF40" i="5"/>
  <c r="AG39" i="5"/>
  <c r="AF39" i="5"/>
  <c r="E45" i="17" l="1"/>
  <c r="N42" i="17"/>
  <c r="K42" i="17"/>
  <c r="I42" i="17"/>
  <c r="J42" i="17" s="1"/>
  <c r="B42" i="17"/>
  <c r="H42" i="17" s="1"/>
  <c r="E36" i="17"/>
  <c r="O35" i="17"/>
  <c r="N35" i="17"/>
  <c r="M35" i="17"/>
  <c r="K35" i="17"/>
  <c r="B35" i="17"/>
  <c r="N34" i="17"/>
  <c r="K34" i="17"/>
  <c r="I34" i="17"/>
  <c r="J34" i="17" s="1"/>
  <c r="B34" i="17"/>
  <c r="N33" i="17"/>
  <c r="K33" i="17"/>
  <c r="I33" i="17"/>
  <c r="B33" i="17"/>
  <c r="N32" i="17"/>
  <c r="K32" i="17"/>
  <c r="I32" i="17"/>
  <c r="B32" i="17"/>
  <c r="B31" i="17" s="1"/>
  <c r="F31" i="17"/>
  <c r="E31" i="17"/>
  <c r="D31" i="17"/>
  <c r="N30" i="17"/>
  <c r="K30" i="17"/>
  <c r="I30" i="17"/>
  <c r="J30" i="17" s="1"/>
  <c r="B30" i="17"/>
  <c r="N29" i="17"/>
  <c r="K29" i="17"/>
  <c r="I29" i="17"/>
  <c r="B29" i="17"/>
  <c r="B28" i="17" s="1"/>
  <c r="F28" i="17"/>
  <c r="E28" i="17"/>
  <c r="D28" i="17"/>
  <c r="C28" i="17"/>
  <c r="K27" i="17"/>
  <c r="K25" i="17" s="1"/>
  <c r="B27" i="17"/>
  <c r="K26" i="17"/>
  <c r="B26" i="17"/>
  <c r="N25" i="17"/>
  <c r="L25" i="17"/>
  <c r="I25" i="17"/>
  <c r="H25" i="17"/>
  <c r="C25" i="17"/>
  <c r="B25" i="17"/>
  <c r="J25" i="17" s="1"/>
  <c r="N24" i="17"/>
  <c r="O24" i="17" s="1"/>
  <c r="K24" i="17"/>
  <c r="I24" i="17"/>
  <c r="D24" i="17"/>
  <c r="C24" i="17"/>
  <c r="H24" i="17" s="1"/>
  <c r="B24" i="17"/>
  <c r="B23" i="17"/>
  <c r="K22" i="17"/>
  <c r="B22" i="17"/>
  <c r="H22" i="17" s="1"/>
  <c r="N21" i="17"/>
  <c r="K21" i="17"/>
  <c r="I21" i="17"/>
  <c r="B21" i="17"/>
  <c r="O20" i="17"/>
  <c r="M20" i="17"/>
  <c r="K20" i="17"/>
  <c r="B20" i="17"/>
  <c r="J20" i="17" s="1"/>
  <c r="N19" i="17"/>
  <c r="O19" i="17" s="1"/>
  <c r="L19" i="17"/>
  <c r="M19" i="17" s="1"/>
  <c r="K19" i="17"/>
  <c r="I19" i="17"/>
  <c r="B19" i="17"/>
  <c r="N18" i="17"/>
  <c r="O18" i="17" s="1"/>
  <c r="K18" i="17"/>
  <c r="I18" i="17"/>
  <c r="B18" i="17"/>
  <c r="N17" i="17"/>
  <c r="O17" i="17" s="1"/>
  <c r="K17" i="17"/>
  <c r="I17" i="17"/>
  <c r="J17" i="17" s="1"/>
  <c r="B17" i="17"/>
  <c r="K16" i="17"/>
  <c r="H16" i="17"/>
  <c r="F16" i="17"/>
  <c r="E16" i="17"/>
  <c r="D16" i="17"/>
  <c r="C16" i="17"/>
  <c r="B16" i="17"/>
  <c r="O15" i="17"/>
  <c r="K15" i="17"/>
  <c r="M15" i="17" s="1"/>
  <c r="B15" i="17"/>
  <c r="J15" i="17" s="1"/>
  <c r="N14" i="17"/>
  <c r="O14" i="17" s="1"/>
  <c r="K14" i="17"/>
  <c r="I14" i="17"/>
  <c r="J14" i="17" s="1"/>
  <c r="B14" i="17"/>
  <c r="N13" i="17"/>
  <c r="K13" i="17"/>
  <c r="I13" i="17"/>
  <c r="J13" i="17" s="1"/>
  <c r="D13" i="17"/>
  <c r="H13" i="17" s="1"/>
  <c r="B13" i="17"/>
  <c r="N12" i="17"/>
  <c r="K12" i="17"/>
  <c r="K9" i="17" s="1"/>
  <c r="I12" i="17"/>
  <c r="J12" i="17" s="1"/>
  <c r="B12" i="17"/>
  <c r="N11" i="17"/>
  <c r="K11" i="17"/>
  <c r="I11" i="17"/>
  <c r="J11" i="17" s="1"/>
  <c r="D11" i="17"/>
  <c r="H11" i="17" s="1"/>
  <c r="B11" i="17"/>
  <c r="N10" i="17"/>
  <c r="K10" i="17"/>
  <c r="I10" i="17"/>
  <c r="J10" i="17" s="1"/>
  <c r="B10" i="17"/>
  <c r="F9" i="17"/>
  <c r="E9" i="17"/>
  <c r="C9" i="17"/>
  <c r="B9" i="17"/>
  <c r="B8" i="17" s="1"/>
  <c r="F8" i="17"/>
  <c r="E8" i="17"/>
  <c r="C8" i="17"/>
  <c r="L36" i="12"/>
  <c r="K36" i="12"/>
  <c r="J36" i="12"/>
  <c r="I36" i="12"/>
  <c r="H36" i="12"/>
  <c r="G36" i="12"/>
  <c r="F36" i="12"/>
  <c r="E36" i="12"/>
  <c r="D36" i="12"/>
  <c r="J35" i="12"/>
  <c r="G35" i="12"/>
  <c r="D35" i="12"/>
  <c r="M34" i="12"/>
  <c r="J34" i="12"/>
  <c r="G34" i="12"/>
  <c r="D34" i="12"/>
  <c r="L33" i="12"/>
  <c r="K33" i="12"/>
  <c r="J33" i="12"/>
  <c r="I33" i="12"/>
  <c r="H33" i="12"/>
  <c r="G33" i="12"/>
  <c r="F33" i="12"/>
  <c r="E33" i="12"/>
  <c r="D33" i="12"/>
  <c r="J32" i="12"/>
  <c r="G32" i="12"/>
  <c r="D32" i="12"/>
  <c r="L31" i="12"/>
  <c r="K31" i="12"/>
  <c r="J31" i="12"/>
  <c r="I31" i="12"/>
  <c r="H31" i="12"/>
  <c r="G31" i="12"/>
  <c r="F31" i="12"/>
  <c r="E31" i="12"/>
  <c r="D31" i="12"/>
  <c r="J30" i="12"/>
  <c r="G30" i="12"/>
  <c r="D30" i="12"/>
  <c r="L29" i="12"/>
  <c r="K29" i="12"/>
  <c r="J29" i="12"/>
  <c r="I29" i="12"/>
  <c r="H29" i="12"/>
  <c r="G29" i="12"/>
  <c r="F29" i="12"/>
  <c r="E29" i="12"/>
  <c r="D29" i="12"/>
  <c r="L27" i="12"/>
  <c r="K27" i="12"/>
  <c r="J27" i="12"/>
  <c r="I27" i="12"/>
  <c r="H27" i="12"/>
  <c r="G27" i="12"/>
  <c r="F27" i="12"/>
  <c r="E27" i="12"/>
  <c r="D27" i="12"/>
  <c r="J26" i="12"/>
  <c r="G26" i="12"/>
  <c r="D26" i="12"/>
  <c r="L25" i="12"/>
  <c r="K25" i="12"/>
  <c r="J25" i="12"/>
  <c r="I25" i="12"/>
  <c r="H25" i="12"/>
  <c r="G25" i="12"/>
  <c r="F25" i="12"/>
  <c r="E25" i="12"/>
  <c r="D25" i="12"/>
  <c r="L23" i="12"/>
  <c r="K23" i="12"/>
  <c r="J23" i="12"/>
  <c r="I23" i="12"/>
  <c r="H23" i="12"/>
  <c r="G23" i="12"/>
  <c r="F23" i="12"/>
  <c r="E23" i="12"/>
  <c r="D23" i="12"/>
  <c r="J22" i="12"/>
  <c r="G22" i="12"/>
  <c r="D22" i="12"/>
  <c r="L21" i="12"/>
  <c r="K21" i="12"/>
  <c r="J21" i="12"/>
  <c r="I21" i="12"/>
  <c r="H21" i="12"/>
  <c r="G21" i="12"/>
  <c r="F21" i="12"/>
  <c r="E21" i="12"/>
  <c r="D21" i="12"/>
  <c r="L20" i="12"/>
  <c r="J20" i="12"/>
  <c r="G20" i="12"/>
  <c r="D20" i="12"/>
  <c r="J19" i="12"/>
  <c r="G19" i="12"/>
  <c r="D19" i="12"/>
  <c r="L18" i="12"/>
  <c r="K18" i="12"/>
  <c r="J18" i="12"/>
  <c r="I18" i="12"/>
  <c r="H18" i="12"/>
  <c r="G18" i="12"/>
  <c r="F18" i="12"/>
  <c r="E18" i="12"/>
  <c r="D18" i="12"/>
  <c r="J17" i="12"/>
  <c r="G17" i="12"/>
  <c r="D17" i="12"/>
  <c r="J16" i="12"/>
  <c r="G16" i="12"/>
  <c r="D16" i="12"/>
  <c r="J15" i="12"/>
  <c r="G15" i="12"/>
  <c r="D15" i="12"/>
  <c r="L14" i="12"/>
  <c r="K14" i="12"/>
  <c r="J14" i="12"/>
  <c r="I14" i="12"/>
  <c r="H14" i="12"/>
  <c r="G14" i="12"/>
  <c r="F14" i="12"/>
  <c r="E14" i="12"/>
  <c r="D14" i="12"/>
  <c r="J13" i="12"/>
  <c r="G13" i="12"/>
  <c r="D13" i="12"/>
  <c r="J12" i="12"/>
  <c r="G12" i="12"/>
  <c r="D12" i="12"/>
  <c r="L11" i="12"/>
  <c r="K11" i="12"/>
  <c r="J11" i="12"/>
  <c r="I11" i="12"/>
  <c r="H11" i="12"/>
  <c r="G11" i="12"/>
  <c r="F11" i="12"/>
  <c r="E11" i="12"/>
  <c r="D11" i="12"/>
  <c r="L10" i="12"/>
  <c r="J10" i="12"/>
  <c r="G10" i="12"/>
  <c r="D10" i="12"/>
  <c r="L9" i="12"/>
  <c r="K9" i="12"/>
  <c r="J9" i="12"/>
  <c r="I9" i="12"/>
  <c r="H9" i="12"/>
  <c r="G9" i="12"/>
  <c r="F9" i="12"/>
  <c r="E9" i="12"/>
  <c r="D9" i="12"/>
  <c r="J8" i="12"/>
  <c r="G8" i="12"/>
  <c r="D8" i="12"/>
  <c r="L7" i="12"/>
  <c r="K7" i="12"/>
  <c r="J7" i="12"/>
  <c r="I7" i="12"/>
  <c r="H7" i="12"/>
  <c r="G7" i="12"/>
  <c r="F7" i="12"/>
  <c r="E7" i="12"/>
  <c r="D7" i="12"/>
  <c r="I92" i="1"/>
  <c r="H92" i="1"/>
  <c r="I91" i="1"/>
  <c r="H91" i="1"/>
  <c r="I90" i="1"/>
  <c r="H90" i="1"/>
  <c r="J88" i="1"/>
  <c r="G88" i="1"/>
  <c r="J87" i="1"/>
  <c r="G87" i="1"/>
  <c r="H86" i="1"/>
  <c r="G86" i="1"/>
  <c r="J85" i="1"/>
  <c r="J84" i="1"/>
  <c r="H83" i="1"/>
  <c r="G83" i="1"/>
  <c r="U82" i="1"/>
  <c r="J82" i="1"/>
  <c r="G82" i="1"/>
  <c r="J81" i="1"/>
  <c r="G81" i="1"/>
  <c r="H80" i="1"/>
  <c r="G80" i="1"/>
  <c r="J79" i="1"/>
  <c r="J78" i="1"/>
  <c r="P77" i="1"/>
  <c r="M77" i="1"/>
  <c r="H77" i="1"/>
  <c r="G77" i="1"/>
  <c r="P76" i="1"/>
  <c r="M76" i="1"/>
  <c r="H76" i="1"/>
  <c r="P75" i="1"/>
  <c r="M75" i="1"/>
  <c r="H75" i="1"/>
  <c r="P74" i="1"/>
  <c r="M74" i="1"/>
  <c r="H74" i="1"/>
  <c r="G73" i="1"/>
  <c r="G72" i="1"/>
  <c r="P71" i="1"/>
  <c r="M71" i="1"/>
  <c r="H71" i="1"/>
  <c r="G71" i="1"/>
  <c r="G70" i="1"/>
  <c r="G69" i="1"/>
  <c r="P68" i="1"/>
  <c r="M68" i="1"/>
  <c r="H68" i="1"/>
  <c r="G68" i="1"/>
  <c r="V67" i="1"/>
  <c r="U67" i="1"/>
  <c r="P67" i="1"/>
  <c r="M67" i="1"/>
  <c r="J67" i="1"/>
  <c r="H67" i="1"/>
  <c r="G67" i="1"/>
  <c r="P66" i="1"/>
  <c r="M66" i="1"/>
  <c r="J66" i="1"/>
  <c r="H66" i="1"/>
  <c r="G66" i="1"/>
  <c r="W65" i="1"/>
  <c r="P65" i="1"/>
  <c r="M65" i="1"/>
  <c r="H65" i="1"/>
  <c r="Q64" i="1"/>
  <c r="N64" i="1"/>
  <c r="L64" i="1"/>
  <c r="I64" i="1"/>
  <c r="G64" i="1"/>
  <c r="Q63" i="1"/>
  <c r="N63" i="1"/>
  <c r="L63" i="1"/>
  <c r="I63" i="1"/>
  <c r="G63" i="1"/>
  <c r="Q62" i="1"/>
  <c r="P62" i="1"/>
  <c r="N62" i="1"/>
  <c r="M62" i="1"/>
  <c r="L62" i="1"/>
  <c r="I62" i="1"/>
  <c r="H62" i="1"/>
  <c r="G62" i="1"/>
  <c r="Q61" i="1"/>
  <c r="N61" i="1"/>
  <c r="L61" i="1"/>
  <c r="I61" i="1"/>
  <c r="G61" i="1"/>
  <c r="Q60" i="1"/>
  <c r="N60" i="1"/>
  <c r="L60" i="1"/>
  <c r="I60" i="1"/>
  <c r="G60" i="1"/>
  <c r="Q59" i="1"/>
  <c r="P59" i="1"/>
  <c r="N59" i="1"/>
  <c r="M59" i="1"/>
  <c r="L59" i="1"/>
  <c r="I59" i="1"/>
  <c r="H59" i="1"/>
  <c r="G59" i="1"/>
  <c r="Z58" i="1"/>
  <c r="V58" i="1"/>
  <c r="R58" i="1"/>
  <c r="Q58" i="1"/>
  <c r="P58" i="1"/>
  <c r="O58" i="1"/>
  <c r="N58" i="1"/>
  <c r="M58" i="1"/>
  <c r="L58" i="1"/>
  <c r="J58" i="1"/>
  <c r="I58" i="1"/>
  <c r="H58" i="1"/>
  <c r="G58" i="1"/>
  <c r="R57" i="1"/>
  <c r="Q57" i="1"/>
  <c r="P57" i="1"/>
  <c r="O57" i="1"/>
  <c r="N57" i="1"/>
  <c r="M57" i="1"/>
  <c r="L57" i="1"/>
  <c r="J57" i="1"/>
  <c r="I57" i="1"/>
  <c r="H57" i="1"/>
  <c r="G57" i="1"/>
  <c r="Q56" i="1"/>
  <c r="P56" i="1"/>
  <c r="N56" i="1"/>
  <c r="M56" i="1"/>
  <c r="L56" i="1"/>
  <c r="I56" i="1"/>
  <c r="H56" i="1"/>
  <c r="G56" i="1"/>
  <c r="U55" i="1"/>
  <c r="R55" i="1"/>
  <c r="Q55" i="1"/>
  <c r="O55" i="1"/>
  <c r="N55" i="1"/>
  <c r="J55" i="1"/>
  <c r="U54" i="1"/>
  <c r="R54" i="1"/>
  <c r="Q54" i="1"/>
  <c r="O54" i="1"/>
  <c r="N54" i="1"/>
  <c r="J54" i="1"/>
  <c r="Q53" i="1"/>
  <c r="P53" i="1"/>
  <c r="N53" i="1"/>
  <c r="M53" i="1"/>
  <c r="H53" i="1"/>
  <c r="U52" i="1"/>
  <c r="T52" i="1"/>
  <c r="R52" i="1"/>
  <c r="Q52" i="1"/>
  <c r="O52" i="1"/>
  <c r="N52" i="1"/>
  <c r="L52" i="1"/>
  <c r="J52" i="1"/>
  <c r="G52" i="1"/>
  <c r="U51" i="1"/>
  <c r="T51" i="1"/>
  <c r="R51" i="1"/>
  <c r="Q51" i="1"/>
  <c r="O51" i="1"/>
  <c r="N51" i="1"/>
  <c r="L51" i="1"/>
  <c r="J51" i="1"/>
  <c r="G51" i="1"/>
  <c r="S50" i="1"/>
  <c r="Q50" i="1"/>
  <c r="P50" i="1"/>
  <c r="N50" i="1"/>
  <c r="M50" i="1"/>
  <c r="L50" i="1"/>
  <c r="H50" i="1"/>
  <c r="G50" i="1"/>
  <c r="J49" i="1"/>
  <c r="U48" i="1"/>
  <c r="J48" i="1"/>
  <c r="H47" i="1"/>
  <c r="U46" i="1"/>
  <c r="J46" i="1"/>
  <c r="J45" i="1"/>
  <c r="P44" i="1"/>
  <c r="M44" i="1"/>
  <c r="H44" i="1"/>
  <c r="U43" i="1"/>
  <c r="T43" i="1"/>
  <c r="J43" i="1"/>
  <c r="U42" i="1"/>
  <c r="T42" i="1"/>
  <c r="J42" i="1"/>
  <c r="M41" i="1"/>
  <c r="H41" i="1"/>
  <c r="I40" i="1"/>
  <c r="I39" i="1"/>
  <c r="P38" i="1"/>
  <c r="O38" i="1"/>
  <c r="N38" i="1"/>
  <c r="M38" i="1"/>
  <c r="L38" i="1"/>
  <c r="K38" i="1"/>
  <c r="J38" i="1"/>
  <c r="I38" i="1"/>
  <c r="H38" i="1"/>
  <c r="T37" i="1"/>
  <c r="R37" i="1"/>
  <c r="Q37" i="1"/>
  <c r="O37" i="1"/>
  <c r="N37" i="1"/>
  <c r="L37" i="1"/>
  <c r="I37" i="1"/>
  <c r="G37" i="1"/>
  <c r="R36" i="1"/>
  <c r="Q36" i="1"/>
  <c r="O36" i="1"/>
  <c r="N36" i="1"/>
  <c r="L36" i="1"/>
  <c r="I36" i="1"/>
  <c r="G36" i="1"/>
  <c r="S35" i="1"/>
  <c r="R35" i="1"/>
  <c r="Q35" i="1"/>
  <c r="P35" i="1"/>
  <c r="O35" i="1"/>
  <c r="N35" i="1"/>
  <c r="M35" i="1"/>
  <c r="L35" i="1"/>
  <c r="K35" i="1"/>
  <c r="I35" i="1"/>
  <c r="H35" i="1"/>
  <c r="G35" i="1"/>
  <c r="R34" i="1"/>
  <c r="Q34" i="1"/>
  <c r="O34" i="1"/>
  <c r="N34" i="1"/>
  <c r="L34" i="1"/>
  <c r="I34" i="1"/>
  <c r="G34" i="1"/>
  <c r="R33" i="1"/>
  <c r="Q33" i="1"/>
  <c r="O33" i="1"/>
  <c r="N33" i="1"/>
  <c r="L33" i="1"/>
  <c r="I33" i="1"/>
  <c r="G33" i="1"/>
  <c r="Q32" i="1"/>
  <c r="P32" i="1"/>
  <c r="O32" i="1"/>
  <c r="N32" i="1"/>
  <c r="M32" i="1"/>
  <c r="L32" i="1"/>
  <c r="K32" i="1"/>
  <c r="I32" i="1"/>
  <c r="H32" i="1"/>
  <c r="G32" i="1"/>
  <c r="R31" i="1"/>
  <c r="Q31" i="1"/>
  <c r="O31" i="1"/>
  <c r="N31" i="1"/>
  <c r="I31" i="1"/>
  <c r="R30" i="1"/>
  <c r="Q30" i="1"/>
  <c r="O30" i="1"/>
  <c r="N30" i="1"/>
  <c r="I30" i="1"/>
  <c r="Q29" i="1"/>
  <c r="P29" i="1"/>
  <c r="O29" i="1"/>
  <c r="N29" i="1"/>
  <c r="M29" i="1"/>
  <c r="L29" i="1"/>
  <c r="K29" i="1"/>
  <c r="I29" i="1"/>
  <c r="H29" i="1"/>
  <c r="G29" i="1"/>
  <c r="U28" i="1"/>
  <c r="T28" i="1"/>
  <c r="R28" i="1"/>
  <c r="Q28" i="1"/>
  <c r="P28" i="1"/>
  <c r="O28" i="1"/>
  <c r="N28" i="1"/>
  <c r="M28" i="1"/>
  <c r="J28" i="1"/>
  <c r="I28" i="1"/>
  <c r="H28" i="1"/>
  <c r="R27" i="1"/>
  <c r="Q27" i="1"/>
  <c r="P27" i="1"/>
  <c r="O27" i="1"/>
  <c r="N27" i="1"/>
  <c r="M27" i="1"/>
  <c r="J27" i="1"/>
  <c r="I27" i="1"/>
  <c r="H27" i="1"/>
  <c r="R26" i="1"/>
  <c r="Q26" i="1"/>
  <c r="P26" i="1"/>
  <c r="N26" i="1"/>
  <c r="M26" i="1"/>
  <c r="L26" i="1"/>
  <c r="J26" i="1"/>
  <c r="I26" i="1"/>
  <c r="H26" i="1"/>
  <c r="G26" i="1"/>
  <c r="R25" i="1"/>
  <c r="Q25" i="1"/>
  <c r="O25" i="1"/>
  <c r="N25" i="1"/>
  <c r="L25" i="1"/>
  <c r="I25" i="1"/>
  <c r="R24" i="1"/>
  <c r="Q24" i="1"/>
  <c r="O24" i="1"/>
  <c r="N24" i="1"/>
  <c r="L24" i="1"/>
  <c r="I24" i="1"/>
  <c r="Q23" i="1"/>
  <c r="P23" i="1"/>
  <c r="N23" i="1"/>
  <c r="M23" i="1"/>
  <c r="L23" i="1"/>
  <c r="I23" i="1"/>
  <c r="H23" i="1"/>
  <c r="G23" i="1"/>
  <c r="R22" i="1"/>
  <c r="Q22" i="1"/>
  <c r="O22" i="1"/>
  <c r="N22" i="1"/>
  <c r="L22" i="1"/>
  <c r="I22" i="1"/>
  <c r="R21" i="1"/>
  <c r="Q21" i="1"/>
  <c r="O21" i="1"/>
  <c r="N21" i="1"/>
  <c r="L21" i="1"/>
  <c r="I21" i="1"/>
  <c r="Q20" i="1"/>
  <c r="P20" i="1"/>
  <c r="N20" i="1"/>
  <c r="M20" i="1"/>
  <c r="L20" i="1"/>
  <c r="I20" i="1"/>
  <c r="H20" i="1"/>
  <c r="G20" i="1"/>
  <c r="R19" i="1"/>
  <c r="Q19" i="1"/>
  <c r="O19" i="1"/>
  <c r="N19" i="1"/>
  <c r="L19" i="1"/>
  <c r="I19" i="1"/>
  <c r="R18" i="1"/>
  <c r="Q18" i="1"/>
  <c r="O18" i="1"/>
  <c r="N18" i="1"/>
  <c r="L18" i="1"/>
  <c r="I18" i="1"/>
  <c r="Q17" i="1"/>
  <c r="P17" i="1"/>
  <c r="N17" i="1"/>
  <c r="M17" i="1"/>
  <c r="L17" i="1"/>
  <c r="I17" i="1"/>
  <c r="H17" i="1"/>
  <c r="G17" i="1"/>
  <c r="V16" i="1"/>
  <c r="U16" i="1"/>
  <c r="R16" i="1"/>
  <c r="Q16" i="1"/>
  <c r="O16" i="1"/>
  <c r="N16" i="1"/>
  <c r="L16" i="1"/>
  <c r="I16" i="1"/>
  <c r="G16" i="1"/>
  <c r="V15" i="1"/>
  <c r="R15" i="1"/>
  <c r="Q15" i="1"/>
  <c r="O15" i="1"/>
  <c r="N15" i="1"/>
  <c r="L15" i="1"/>
  <c r="I15" i="1"/>
  <c r="G15" i="1"/>
  <c r="Q14" i="1"/>
  <c r="P14" i="1"/>
  <c r="N14" i="1"/>
  <c r="M14" i="1"/>
  <c r="L14" i="1"/>
  <c r="I14" i="1"/>
  <c r="H14" i="1"/>
  <c r="G14" i="1"/>
  <c r="V13" i="1"/>
  <c r="U13" i="1"/>
  <c r="R13" i="1"/>
  <c r="Q13" i="1"/>
  <c r="O13" i="1"/>
  <c r="N13" i="1"/>
  <c r="L13" i="1"/>
  <c r="I13" i="1"/>
  <c r="G13" i="1"/>
  <c r="R12" i="1"/>
  <c r="Q12" i="1"/>
  <c r="O12" i="1"/>
  <c r="N12" i="1"/>
  <c r="L12" i="1"/>
  <c r="I12" i="1"/>
  <c r="G12" i="1"/>
  <c r="Q11" i="1"/>
  <c r="P11" i="1"/>
  <c r="N11" i="1"/>
  <c r="M11" i="1"/>
  <c r="L11" i="1"/>
  <c r="I11" i="1"/>
  <c r="H11" i="1"/>
  <c r="G11" i="1"/>
  <c r="U10" i="1"/>
  <c r="R10" i="1"/>
  <c r="Q10" i="1"/>
  <c r="O10" i="1"/>
  <c r="N10" i="1"/>
  <c r="L10" i="1"/>
  <c r="I10" i="1"/>
  <c r="G10" i="1"/>
  <c r="R9" i="1"/>
  <c r="Q9" i="1"/>
  <c r="O9" i="1"/>
  <c r="N9" i="1"/>
  <c r="L9" i="1"/>
  <c r="I9" i="1"/>
  <c r="G9" i="1"/>
  <c r="Q8" i="1"/>
  <c r="P8" i="1"/>
  <c r="N8" i="1"/>
  <c r="M8" i="1"/>
  <c r="L8" i="1"/>
  <c r="I8" i="1"/>
  <c r="H8" i="1"/>
  <c r="G8" i="1"/>
  <c r="U7" i="1"/>
  <c r="R7" i="1"/>
  <c r="Q7" i="1"/>
  <c r="P7" i="1"/>
  <c r="O7" i="1"/>
  <c r="N7" i="1"/>
  <c r="M7" i="1"/>
  <c r="L7" i="1"/>
  <c r="J7" i="1"/>
  <c r="I7" i="1"/>
  <c r="H7" i="1"/>
  <c r="G7" i="1"/>
  <c r="V6" i="1"/>
  <c r="R6" i="1"/>
  <c r="Q6" i="1"/>
  <c r="P6" i="1"/>
  <c r="O6" i="1"/>
  <c r="N6" i="1"/>
  <c r="M6" i="1"/>
  <c r="L6" i="1"/>
  <c r="J6" i="1"/>
  <c r="I6" i="1"/>
  <c r="H6" i="1"/>
  <c r="G6" i="1"/>
  <c r="R5" i="1"/>
  <c r="Q5" i="1"/>
  <c r="P5" i="1"/>
  <c r="O5" i="1"/>
  <c r="N5" i="1"/>
  <c r="M5" i="1"/>
  <c r="L5" i="1"/>
  <c r="J5" i="1"/>
  <c r="I5" i="1"/>
  <c r="H5" i="1"/>
  <c r="G5" i="1"/>
  <c r="J39" i="7"/>
  <c r="G39" i="7"/>
  <c r="E39" i="7"/>
  <c r="F39" i="7" s="1"/>
  <c r="B39" i="7"/>
  <c r="B35" i="7"/>
  <c r="K34" i="7"/>
  <c r="J34" i="7"/>
  <c r="I34" i="7"/>
  <c r="G34" i="7"/>
  <c r="B34" i="7"/>
  <c r="J33" i="7"/>
  <c r="G33" i="7"/>
  <c r="E33" i="7"/>
  <c r="F33" i="7" s="1"/>
  <c r="B33" i="7"/>
  <c r="J32" i="7"/>
  <c r="G32" i="7"/>
  <c r="E32" i="7"/>
  <c r="B32" i="7"/>
  <c r="J31" i="7"/>
  <c r="G31" i="7"/>
  <c r="E31" i="7"/>
  <c r="F31" i="7" s="1"/>
  <c r="B31" i="7"/>
  <c r="B30" i="7"/>
  <c r="J29" i="7"/>
  <c r="G29" i="7"/>
  <c r="E29" i="7"/>
  <c r="B29" i="7"/>
  <c r="J28" i="7"/>
  <c r="G28" i="7"/>
  <c r="E28" i="7"/>
  <c r="F28" i="7" s="1"/>
  <c r="B28" i="7"/>
  <c r="B27" i="7"/>
  <c r="G26" i="7"/>
  <c r="B26" i="7"/>
  <c r="G25" i="7"/>
  <c r="B25" i="7"/>
  <c r="K24" i="7"/>
  <c r="J24" i="7"/>
  <c r="I24" i="7"/>
  <c r="H24" i="7"/>
  <c r="G24" i="7"/>
  <c r="F24" i="7"/>
  <c r="E24" i="7"/>
  <c r="D24" i="7"/>
  <c r="C24" i="7"/>
  <c r="B24" i="7"/>
  <c r="J23" i="7"/>
  <c r="K23" i="7" s="1"/>
  <c r="G23" i="7"/>
  <c r="E23" i="7"/>
  <c r="F23" i="7" s="1"/>
  <c r="B23" i="7"/>
  <c r="J22" i="7"/>
  <c r="K22" i="7" s="1"/>
  <c r="G22" i="7"/>
  <c r="E22" i="7"/>
  <c r="F22" i="7" s="1"/>
  <c r="B22" i="7"/>
  <c r="G21" i="7"/>
  <c r="B21" i="7"/>
  <c r="J20" i="7"/>
  <c r="K20" i="7" s="1"/>
  <c r="G20" i="7"/>
  <c r="E20" i="7"/>
  <c r="F20" i="7" s="1"/>
  <c r="B20" i="7"/>
  <c r="K19" i="7"/>
  <c r="I19" i="7"/>
  <c r="G19" i="7"/>
  <c r="F19" i="7"/>
  <c r="D19" i="7"/>
  <c r="B19" i="7"/>
  <c r="J18" i="7"/>
  <c r="K18" i="7" s="1"/>
  <c r="G18" i="7"/>
  <c r="E18" i="7"/>
  <c r="F18" i="7" s="1"/>
  <c r="B18" i="7"/>
  <c r="J17" i="7"/>
  <c r="K17" i="7" s="1"/>
  <c r="G17" i="7"/>
  <c r="E17" i="7"/>
  <c r="F17" i="7" s="1"/>
  <c r="B17" i="7"/>
  <c r="J16" i="7"/>
  <c r="K16" i="7" s="1"/>
  <c r="G16" i="7"/>
  <c r="E16" i="7"/>
  <c r="F16" i="7" s="1"/>
  <c r="B16" i="7"/>
  <c r="G15" i="7"/>
  <c r="B15" i="7"/>
  <c r="K14" i="7"/>
  <c r="I14" i="7"/>
  <c r="G14" i="7"/>
  <c r="F14" i="7"/>
  <c r="D14" i="7"/>
  <c r="B14" i="7"/>
  <c r="J13" i="7"/>
  <c r="K13" i="7" s="1"/>
  <c r="G13" i="7"/>
  <c r="E13" i="7"/>
  <c r="F13" i="7" s="1"/>
  <c r="B13" i="7"/>
  <c r="J12" i="7"/>
  <c r="K12" i="7" s="1"/>
  <c r="G12" i="7"/>
  <c r="E12" i="7"/>
  <c r="F12" i="7" s="1"/>
  <c r="B12" i="7"/>
  <c r="J11" i="7"/>
  <c r="K11" i="7" s="1"/>
  <c r="G11" i="7"/>
  <c r="E11" i="7"/>
  <c r="F11" i="7" s="1"/>
  <c r="B11" i="7"/>
  <c r="J10" i="7"/>
  <c r="K10" i="7" s="1"/>
  <c r="G10" i="7"/>
  <c r="E10" i="7"/>
  <c r="F10" i="7" s="1"/>
  <c r="B10" i="7"/>
  <c r="J9" i="7"/>
  <c r="K9" i="7" s="1"/>
  <c r="G9" i="7"/>
  <c r="E9" i="7"/>
  <c r="F9" i="7" s="1"/>
  <c r="B9" i="7"/>
  <c r="G8" i="7"/>
  <c r="B8" i="7"/>
  <c r="AC52" i="6"/>
  <c r="AD50" i="6"/>
  <c r="N50" i="6"/>
  <c r="L50" i="6"/>
  <c r="J50" i="6"/>
  <c r="AC48" i="6"/>
  <c r="R48" i="6"/>
  <c r="P48" i="6"/>
  <c r="H48" i="6"/>
  <c r="AC46" i="6"/>
  <c r="AA46" i="6"/>
  <c r="Y46" i="6"/>
  <c r="Y57" i="6" s="1"/>
  <c r="W46" i="6"/>
  <c r="U46" i="6"/>
  <c r="S46" i="6"/>
  <c r="Q46" i="6"/>
  <c r="O46" i="6"/>
  <c r="M46" i="6"/>
  <c r="M57" i="6" s="1"/>
  <c r="E46" i="6"/>
  <c r="D46" i="6"/>
  <c r="C44" i="6"/>
  <c r="AE41" i="6"/>
  <c r="AD41" i="6"/>
  <c r="G41" i="6"/>
  <c r="C35" i="17"/>
  <c r="E41" i="6"/>
  <c r="D41" i="6"/>
  <c r="AD40" i="6"/>
  <c r="AA40" i="6"/>
  <c r="M40" i="6"/>
  <c r="M37" i="6" s="1"/>
  <c r="K40" i="6"/>
  <c r="G40" i="6"/>
  <c r="E40" i="6"/>
  <c r="D40" i="6"/>
  <c r="AD39" i="6"/>
  <c r="AA39" i="6"/>
  <c r="Y39" i="6"/>
  <c r="W39" i="6"/>
  <c r="G39" i="6"/>
  <c r="E39" i="6"/>
  <c r="D39" i="6"/>
  <c r="AD38" i="6"/>
  <c r="AA38" i="6"/>
  <c r="Y38" i="6"/>
  <c r="W38" i="6"/>
  <c r="G38" i="6"/>
  <c r="E38" i="6"/>
  <c r="D38" i="6"/>
  <c r="AG37" i="6"/>
  <c r="AB37" i="6"/>
  <c r="AB48" i="6" s="1"/>
  <c r="Z37" i="6"/>
  <c r="Z48" i="6" s="1"/>
  <c r="X37" i="6"/>
  <c r="X48" i="6" s="1"/>
  <c r="V37" i="6"/>
  <c r="V48" i="6" s="1"/>
  <c r="U37" i="6"/>
  <c r="T37" i="6"/>
  <c r="T48" i="6" s="1"/>
  <c r="S37" i="6"/>
  <c r="R37" i="6"/>
  <c r="Q37" i="6"/>
  <c r="P37" i="6"/>
  <c r="O37" i="6"/>
  <c r="N37" i="6"/>
  <c r="N48" i="6" s="1"/>
  <c r="L37" i="6"/>
  <c r="L48" i="6" s="1"/>
  <c r="J37" i="6"/>
  <c r="J48" i="6" s="1"/>
  <c r="I37" i="6"/>
  <c r="I48" i="6" s="1"/>
  <c r="I51" i="6" s="1"/>
  <c r="H37" i="6"/>
  <c r="C37" i="6"/>
  <c r="G36" i="6"/>
  <c r="G35" i="6"/>
  <c r="F35" i="6"/>
  <c r="E35" i="6"/>
  <c r="D35" i="6"/>
  <c r="G34" i="6"/>
  <c r="F34" i="6"/>
  <c r="E34" i="6"/>
  <c r="D34" i="6"/>
  <c r="Z33" i="6"/>
  <c r="G33" i="6"/>
  <c r="F33" i="6"/>
  <c r="E33" i="6"/>
  <c r="D33" i="6"/>
  <c r="C33" i="6"/>
  <c r="M29" i="6"/>
  <c r="F29" i="6" s="1"/>
  <c r="G29" i="6"/>
  <c r="E29" i="6"/>
  <c r="D29" i="6"/>
  <c r="AD28" i="6"/>
  <c r="AD27" i="6"/>
  <c r="U27" i="6"/>
  <c r="F27" i="6" s="1"/>
  <c r="G27" i="6"/>
  <c r="E27" i="6"/>
  <c r="D27" i="6"/>
  <c r="AD26" i="6"/>
  <c r="G26" i="6"/>
  <c r="F26" i="6"/>
  <c r="AD25" i="6"/>
  <c r="AA25" i="6"/>
  <c r="Y25" i="6"/>
  <c r="Y23" i="6" s="1"/>
  <c r="W25" i="6"/>
  <c r="U25" i="6"/>
  <c r="U23" i="6" s="1"/>
  <c r="S25" i="6"/>
  <c r="S23" i="6" s="1"/>
  <c r="Q25" i="6"/>
  <c r="O25" i="6"/>
  <c r="O23" i="6" s="1"/>
  <c r="K25" i="6"/>
  <c r="K23" i="6" s="1"/>
  <c r="G25" i="6"/>
  <c r="E25" i="6"/>
  <c r="D25" i="6"/>
  <c r="AD24" i="6"/>
  <c r="AA24" i="6"/>
  <c r="AA23" i="6" s="1"/>
  <c r="W24" i="6"/>
  <c r="Q24" i="6"/>
  <c r="G24" i="6"/>
  <c r="E24" i="6"/>
  <c r="D24" i="6"/>
  <c r="AD23" i="6"/>
  <c r="AB23" i="6"/>
  <c r="Z23" i="6"/>
  <c r="X23" i="6"/>
  <c r="V23" i="6"/>
  <c r="T23" i="6"/>
  <c r="R23" i="6"/>
  <c r="P23" i="6"/>
  <c r="N23" i="6"/>
  <c r="M23" i="6"/>
  <c r="L23" i="6"/>
  <c r="J23" i="6"/>
  <c r="I23" i="6"/>
  <c r="H23" i="6"/>
  <c r="G23" i="6"/>
  <c r="D23" i="6"/>
  <c r="C23" i="6"/>
  <c r="AD22" i="6"/>
  <c r="AD21" i="6"/>
  <c r="AA21" i="6"/>
  <c r="Y21" i="6"/>
  <c r="W21" i="6"/>
  <c r="U21" i="6"/>
  <c r="S21" i="6"/>
  <c r="Q21" i="6"/>
  <c r="O21" i="6"/>
  <c r="M21" i="6"/>
  <c r="K21" i="6"/>
  <c r="G21" i="6"/>
  <c r="E21" i="6"/>
  <c r="D21" i="6"/>
  <c r="AD20" i="6"/>
  <c r="G19" i="6"/>
  <c r="F19" i="6"/>
  <c r="E19" i="6"/>
  <c r="D19" i="6"/>
  <c r="AG18" i="6"/>
  <c r="AD18" i="6"/>
  <c r="AA18" i="6"/>
  <c r="O18" i="6"/>
  <c r="G18" i="6"/>
  <c r="E18" i="6"/>
  <c r="D18" i="6"/>
  <c r="AG17" i="6"/>
  <c r="AD17" i="6"/>
  <c r="Y17" i="6"/>
  <c r="Y15" i="6" s="1"/>
  <c r="W17" i="6"/>
  <c r="W15" i="6" s="1"/>
  <c r="O17" i="6"/>
  <c r="G17" i="6"/>
  <c r="E17" i="6"/>
  <c r="D17" i="6"/>
  <c r="AG16" i="6"/>
  <c r="AD16" i="6"/>
  <c r="AA16" i="6"/>
  <c r="Q16" i="6"/>
  <c r="Q15" i="6" s="1"/>
  <c r="O16" i="6"/>
  <c r="M16" i="6"/>
  <c r="M15" i="6" s="1"/>
  <c r="K16" i="6"/>
  <c r="G16" i="6"/>
  <c r="E16" i="6"/>
  <c r="D16" i="6"/>
  <c r="AG15" i="6"/>
  <c r="AD15" i="6"/>
  <c r="AC15" i="6"/>
  <c r="AB15" i="6"/>
  <c r="Z15" i="6"/>
  <c r="X15" i="6"/>
  <c r="V15" i="6"/>
  <c r="U15" i="6"/>
  <c r="T15" i="6"/>
  <c r="S15" i="6"/>
  <c r="R15" i="6"/>
  <c r="P15" i="6"/>
  <c r="N15" i="6"/>
  <c r="L15" i="6"/>
  <c r="K15" i="6"/>
  <c r="J15" i="6"/>
  <c r="I15" i="6"/>
  <c r="H15" i="6"/>
  <c r="G15" i="6"/>
  <c r="E15" i="6"/>
  <c r="D15" i="6"/>
  <c r="C15" i="6"/>
  <c r="AD14" i="6"/>
  <c r="F13" i="6"/>
  <c r="D13" i="6"/>
  <c r="AD13" i="6" s="1"/>
  <c r="AA12" i="6"/>
  <c r="W12" i="6"/>
  <c r="Q12" i="6"/>
  <c r="K12" i="6"/>
  <c r="D12" i="6"/>
  <c r="G12" i="6" s="1"/>
  <c r="AD11" i="6"/>
  <c r="W11" i="6"/>
  <c r="U11" i="6"/>
  <c r="S11" i="6"/>
  <c r="Q11" i="6"/>
  <c r="O11" i="6"/>
  <c r="M11" i="6"/>
  <c r="K11" i="6"/>
  <c r="D11" i="6"/>
  <c r="E11" i="6" s="1"/>
  <c r="Y10" i="6"/>
  <c r="U10" i="6"/>
  <c r="S10" i="6"/>
  <c r="Q10" i="6"/>
  <c r="M10" i="6"/>
  <c r="K10" i="6"/>
  <c r="D10" i="6"/>
  <c r="AD10" i="6" s="1"/>
  <c r="AG9" i="6"/>
  <c r="AC9" i="6"/>
  <c r="AA9" i="6"/>
  <c r="S9" i="6"/>
  <c r="Q9" i="6"/>
  <c r="O9" i="6"/>
  <c r="M9" i="6"/>
  <c r="K9" i="6"/>
  <c r="E9" i="6"/>
  <c r="D9" i="6"/>
  <c r="AD9" i="6" s="1"/>
  <c r="AG8" i="6"/>
  <c r="AA8" i="6"/>
  <c r="Y8" i="6"/>
  <c r="W8" i="6"/>
  <c r="U8" i="6"/>
  <c r="M8" i="6"/>
  <c r="G8" i="6"/>
  <c r="D8" i="6"/>
  <c r="AD8" i="6" s="1"/>
  <c r="AB7" i="6"/>
  <c r="Z7" i="6"/>
  <c r="X7" i="6"/>
  <c r="V7" i="6"/>
  <c r="T7" i="6"/>
  <c r="R7" i="6"/>
  <c r="P7" i="6"/>
  <c r="N7" i="6"/>
  <c r="L7" i="6"/>
  <c r="J7" i="6"/>
  <c r="I7" i="6"/>
  <c r="H7" i="6"/>
  <c r="C7" i="6"/>
  <c r="BG234" i="5"/>
  <c r="BF234" i="5"/>
  <c r="BE234" i="5"/>
  <c r="BD234" i="5"/>
  <c r="BB234" i="5"/>
  <c r="BA234" i="5"/>
  <c r="AZ234" i="5"/>
  <c r="AX234" i="5"/>
  <c r="AW234" i="5"/>
  <c r="AV234" i="5"/>
  <c r="AT234" i="5"/>
  <c r="AS234" i="5"/>
  <c r="AR234" i="5"/>
  <c r="AP234" i="5"/>
  <c r="AO234" i="5"/>
  <c r="AN234" i="5"/>
  <c r="AL234" i="5"/>
  <c r="AK234" i="5"/>
  <c r="AJ234" i="5"/>
  <c r="AH234" i="5"/>
  <c r="AG234" i="5"/>
  <c r="AF234" i="5"/>
  <c r="AD234" i="5"/>
  <c r="AC234" i="5"/>
  <c r="AB234" i="5"/>
  <c r="Z234" i="5"/>
  <c r="Y234" i="5"/>
  <c r="X234" i="5"/>
  <c r="W234" i="5"/>
  <c r="V234" i="5"/>
  <c r="U234" i="5"/>
  <c r="T234" i="5"/>
  <c r="S234" i="5"/>
  <c r="R234" i="5"/>
  <c r="Q234" i="5"/>
  <c r="P234" i="5"/>
  <c r="O234" i="5"/>
  <c r="N234" i="5"/>
  <c r="BG232" i="5"/>
  <c r="BF232" i="5"/>
  <c r="BE232" i="5"/>
  <c r="BD232" i="5"/>
  <c r="BB232" i="5"/>
  <c r="BA232" i="5"/>
  <c r="AZ232" i="5"/>
  <c r="AX232" i="5"/>
  <c r="AW232" i="5"/>
  <c r="AV232" i="5"/>
  <c r="AT232" i="5"/>
  <c r="AS232" i="5"/>
  <c r="AR232" i="5"/>
  <c r="AP232" i="5"/>
  <c r="AO232" i="5"/>
  <c r="AN232" i="5"/>
  <c r="AL232" i="5"/>
  <c r="AK232" i="5"/>
  <c r="AJ232" i="5"/>
  <c r="AH232" i="5"/>
  <c r="AG232" i="5"/>
  <c r="AF232" i="5"/>
  <c r="AD232" i="5"/>
  <c r="AC232" i="5"/>
  <c r="AB232" i="5"/>
  <c r="Z232" i="5"/>
  <c r="Y232" i="5"/>
  <c r="X232" i="5"/>
  <c r="V232" i="5"/>
  <c r="U232" i="5"/>
  <c r="T232" i="5"/>
  <c r="S232" i="5"/>
  <c r="R232" i="5"/>
  <c r="Q232" i="5"/>
  <c r="P232" i="5"/>
  <c r="O232" i="5"/>
  <c r="N232" i="5"/>
  <c r="M232" i="5"/>
  <c r="L232" i="5"/>
  <c r="BQ230" i="5"/>
  <c r="BQ229" i="5"/>
  <c r="BQ228" i="5"/>
  <c r="BQ227" i="5"/>
  <c r="BQ223" i="5"/>
  <c r="BQ221" i="5"/>
  <c r="BQ220" i="5"/>
  <c r="BQ219" i="5"/>
  <c r="BM219" i="5"/>
  <c r="BL219" i="5"/>
  <c r="AI219" i="5"/>
  <c r="S219" i="5"/>
  <c r="I219" i="5"/>
  <c r="J219" i="5" s="1"/>
  <c r="BQ218" i="5"/>
  <c r="BM218" i="5"/>
  <c r="S218" i="5"/>
  <c r="K218" i="5"/>
  <c r="I218" i="5"/>
  <c r="H218" i="5"/>
  <c r="BL218" i="5" s="1"/>
  <c r="BL217" i="5"/>
  <c r="I217" i="5"/>
  <c r="J217" i="5" s="1"/>
  <c r="BQ216" i="5"/>
  <c r="BM216" i="5"/>
  <c r="BL216" i="5"/>
  <c r="S216" i="5"/>
  <c r="K216" i="5"/>
  <c r="I216" i="5"/>
  <c r="J216" i="5" s="1"/>
  <c r="BQ215" i="5"/>
  <c r="BM215" i="5"/>
  <c r="S215" i="5"/>
  <c r="K215" i="5"/>
  <c r="I215" i="5"/>
  <c r="J215" i="5" s="1"/>
  <c r="H215" i="5"/>
  <c r="BL215" i="5" s="1"/>
  <c r="BL214" i="5"/>
  <c r="I214" i="5"/>
  <c r="J214" i="5" s="1"/>
  <c r="BL213" i="5"/>
  <c r="I213" i="5"/>
  <c r="J213" i="5" s="1"/>
  <c r="BQ212" i="5"/>
  <c r="BM212" i="5"/>
  <c r="S212" i="5"/>
  <c r="K212" i="5"/>
  <c r="I212" i="5"/>
  <c r="H212" i="5"/>
  <c r="BL212" i="5" s="1"/>
  <c r="BK211" i="5"/>
  <c r="BJ211" i="5"/>
  <c r="BQ211" i="5" s="1"/>
  <c r="BH211" i="5"/>
  <c r="BH15" i="5" s="1"/>
  <c r="BG211" i="5"/>
  <c r="BG236" i="5" s="1"/>
  <c r="BF211" i="5"/>
  <c r="BF236" i="5" s="1"/>
  <c r="BE211" i="5"/>
  <c r="BE236" i="5" s="1"/>
  <c r="BD211" i="5"/>
  <c r="BC211" i="5"/>
  <c r="BB211" i="5"/>
  <c r="BA211" i="5"/>
  <c r="AZ211" i="5"/>
  <c r="AY211" i="5"/>
  <c r="AX211" i="5"/>
  <c r="AW211" i="5"/>
  <c r="AV211" i="5"/>
  <c r="AU211" i="5"/>
  <c r="AT211" i="5"/>
  <c r="AS211" i="5"/>
  <c r="AR211" i="5"/>
  <c r="AQ211" i="5"/>
  <c r="AP211" i="5"/>
  <c r="AO211" i="5"/>
  <c r="AN211" i="5"/>
  <c r="AM211" i="5"/>
  <c r="AL211" i="5"/>
  <c r="AK211" i="5"/>
  <c r="AJ211" i="5"/>
  <c r="AH211" i="5"/>
  <c r="AH236" i="5" s="1"/>
  <c r="AG211" i="5"/>
  <c r="AG236" i="5" s="1"/>
  <c r="AF211" i="5"/>
  <c r="AF236" i="5" s="1"/>
  <c r="AE211" i="5"/>
  <c r="AD211" i="5"/>
  <c r="AC211" i="5"/>
  <c r="AC236" i="5" s="1"/>
  <c r="AB211" i="5"/>
  <c r="AB236" i="5" s="1"/>
  <c r="AA211" i="5"/>
  <c r="Z211" i="5"/>
  <c r="Z236" i="5" s="1"/>
  <c r="Y211" i="5"/>
  <c r="Y236" i="5" s="1"/>
  <c r="X211" i="5"/>
  <c r="X236" i="5" s="1"/>
  <c r="W211" i="5"/>
  <c r="V211" i="5"/>
  <c r="V236" i="5" s="1"/>
  <c r="U211" i="5"/>
  <c r="U236" i="5" s="1"/>
  <c r="T211" i="5"/>
  <c r="T236" i="5" s="1"/>
  <c r="R211" i="5"/>
  <c r="R236" i="5" s="1"/>
  <c r="Q211" i="5"/>
  <c r="Q236" i="5" s="1"/>
  <c r="P211" i="5"/>
  <c r="P236" i="5" s="1"/>
  <c r="O211" i="5"/>
  <c r="O236" i="5" s="1"/>
  <c r="N211" i="5"/>
  <c r="N236" i="5" s="1"/>
  <c r="M211" i="5"/>
  <c r="M236" i="5" s="1"/>
  <c r="L211" i="5"/>
  <c r="BQ210" i="5"/>
  <c r="BM210" i="5"/>
  <c r="BL210" i="5"/>
  <c r="K210" i="5"/>
  <c r="I210" i="5"/>
  <c r="J210" i="5" s="1"/>
  <c r="BL209" i="5"/>
  <c r="I209" i="5"/>
  <c r="J209" i="5" s="1"/>
  <c r="BQ208" i="5"/>
  <c r="BM208" i="5"/>
  <c r="K208" i="5"/>
  <c r="I208" i="5"/>
  <c r="H208" i="5"/>
  <c r="BL208" i="5" s="1"/>
  <c r="BL207" i="5"/>
  <c r="I207" i="5"/>
  <c r="J207" i="5" s="1"/>
  <c r="BQ206" i="5"/>
  <c r="BM206" i="5"/>
  <c r="BL206" i="5"/>
  <c r="BC206" i="5"/>
  <c r="BC205" i="5" s="1"/>
  <c r="AY206" i="5"/>
  <c r="AY205" i="5" s="1"/>
  <c r="AI206" i="5"/>
  <c r="K206" i="5"/>
  <c r="K205" i="5" s="1"/>
  <c r="I206" i="5"/>
  <c r="J206" i="5" s="1"/>
  <c r="BD205" i="5"/>
  <c r="BB205" i="5"/>
  <c r="BA205" i="5"/>
  <c r="AZ205" i="5"/>
  <c r="AX205" i="5"/>
  <c r="AW205" i="5"/>
  <c r="AV205" i="5"/>
  <c r="AU205" i="5"/>
  <c r="AT205" i="5"/>
  <c r="AS205" i="5"/>
  <c r="AR205" i="5"/>
  <c r="AQ205" i="5"/>
  <c r="AP205" i="5"/>
  <c r="AO205" i="5"/>
  <c r="AN205" i="5"/>
  <c r="AM205" i="5"/>
  <c r="AL205" i="5"/>
  <c r="AK205" i="5"/>
  <c r="AJ205" i="5"/>
  <c r="AI205" i="5"/>
  <c r="AH205" i="5"/>
  <c r="AG205" i="5"/>
  <c r="AF205" i="5"/>
  <c r="AE205" i="5"/>
  <c r="AD205" i="5"/>
  <c r="AC205" i="5"/>
  <c r="AB205" i="5"/>
  <c r="AA205" i="5"/>
  <c r="Z205" i="5"/>
  <c r="Y205" i="5"/>
  <c r="X205" i="5"/>
  <c r="W205" i="5"/>
  <c r="V205" i="5"/>
  <c r="U205" i="5"/>
  <c r="T205" i="5"/>
  <c r="S205" i="5"/>
  <c r="R205" i="5"/>
  <c r="Q205" i="5"/>
  <c r="P205" i="5"/>
  <c r="O205" i="5"/>
  <c r="N205" i="5"/>
  <c r="M205" i="5"/>
  <c r="L205" i="5"/>
  <c r="H205" i="5"/>
  <c r="BK204" i="5"/>
  <c r="BJ204" i="5"/>
  <c r="BH204" i="5"/>
  <c r="BG204" i="5"/>
  <c r="BF204" i="5"/>
  <c r="BE204" i="5"/>
  <c r="BE241" i="5" s="1"/>
  <c r="BD204" i="5"/>
  <c r="BC204" i="5"/>
  <c r="BB204" i="5"/>
  <c r="BA204" i="5"/>
  <c r="AZ204" i="5"/>
  <c r="AY204" i="5"/>
  <c r="AY241" i="5" s="1"/>
  <c r="AX204" i="5"/>
  <c r="AX241" i="5" s="1"/>
  <c r="AW204" i="5"/>
  <c r="AW241" i="5" s="1"/>
  <c r="AV204" i="5"/>
  <c r="AU204" i="5"/>
  <c r="AT204" i="5"/>
  <c r="AS204" i="5"/>
  <c r="AS241" i="5" s="1"/>
  <c r="AR204" i="5"/>
  <c r="AQ204" i="5"/>
  <c r="AQ241" i="5" s="1"/>
  <c r="AP204" i="5"/>
  <c r="AO204" i="5"/>
  <c r="AN204" i="5"/>
  <c r="AN241" i="5" s="1"/>
  <c r="AM204" i="5"/>
  <c r="AM241" i="5" s="1"/>
  <c r="AL204" i="5"/>
  <c r="AL241" i="5" s="1"/>
  <c r="AK204" i="5"/>
  <c r="AK241" i="5" s="1"/>
  <c r="AJ204" i="5"/>
  <c r="AI204" i="5"/>
  <c r="AH204" i="5"/>
  <c r="AH241" i="5" s="1"/>
  <c r="AG204" i="5"/>
  <c r="AG241" i="5" s="1"/>
  <c r="AF204" i="5"/>
  <c r="AF241" i="5" s="1"/>
  <c r="AE204" i="5"/>
  <c r="AE241" i="5" s="1"/>
  <c r="AD204" i="5"/>
  <c r="AC204" i="5"/>
  <c r="AB204" i="5"/>
  <c r="AB241" i="5" s="1"/>
  <c r="AA204" i="5"/>
  <c r="AA241" i="5" s="1"/>
  <c r="Z204" i="5"/>
  <c r="Z241" i="5" s="1"/>
  <c r="Y204" i="5"/>
  <c r="Y241" i="5" s="1"/>
  <c r="X204" i="5"/>
  <c r="W204" i="5"/>
  <c r="W241" i="5" s="1"/>
  <c r="V204" i="5"/>
  <c r="V241" i="5" s="1"/>
  <c r="U204" i="5"/>
  <c r="U241" i="5" s="1"/>
  <c r="T204" i="5"/>
  <c r="T241" i="5" s="1"/>
  <c r="S204" i="5"/>
  <c r="S241" i="5" s="1"/>
  <c r="R204" i="5"/>
  <c r="R241" i="5" s="1"/>
  <c r="Q204" i="5"/>
  <c r="Q241" i="5" s="1"/>
  <c r="P204" i="5"/>
  <c r="P241" i="5" s="1"/>
  <c r="O204" i="5"/>
  <c r="O241" i="5" s="1"/>
  <c r="N204" i="5"/>
  <c r="N241" i="5" s="1"/>
  <c r="M204" i="5"/>
  <c r="M241" i="5" s="1"/>
  <c r="L204" i="5"/>
  <c r="L241" i="5" s="1"/>
  <c r="K204" i="5"/>
  <c r="BQ203" i="5"/>
  <c r="BM203" i="5"/>
  <c r="BL203" i="5"/>
  <c r="BC203" i="5"/>
  <c r="BC190" i="5" s="1"/>
  <c r="BC17" i="5" s="1"/>
  <c r="AA203" i="5"/>
  <c r="AA190" i="5" s="1"/>
  <c r="AA17" i="5" s="1"/>
  <c r="K203" i="5"/>
  <c r="I203" i="5"/>
  <c r="J203" i="5" s="1"/>
  <c r="J190" i="5" s="1"/>
  <c r="J17" i="5" s="1"/>
  <c r="BQ202" i="5"/>
  <c r="BM202" i="5"/>
  <c r="BL202" i="5"/>
  <c r="BC202" i="5"/>
  <c r="BC188" i="5" s="1"/>
  <c r="AA202" i="5"/>
  <c r="K202" i="5"/>
  <c r="I202" i="5"/>
  <c r="J202" i="5" s="1"/>
  <c r="BL201" i="5"/>
  <c r="BH201" i="5"/>
  <c r="BC201" i="5"/>
  <c r="AY201" i="5"/>
  <c r="AU201" i="5"/>
  <c r="AI201" i="5"/>
  <c r="AA201" i="5"/>
  <c r="K201" i="5"/>
  <c r="I201" i="5"/>
  <c r="J201" i="5" s="1"/>
  <c r="BL200" i="5"/>
  <c r="BH200" i="5"/>
  <c r="BC200" i="5"/>
  <c r="AY200" i="5"/>
  <c r="AU200" i="5"/>
  <c r="AI200" i="5"/>
  <c r="AA200" i="5"/>
  <c r="K200" i="5"/>
  <c r="L34" i="17" s="1"/>
  <c r="I200" i="5"/>
  <c r="J200" i="5" s="1"/>
  <c r="BL199" i="5"/>
  <c r="BH199" i="5"/>
  <c r="BC199" i="5"/>
  <c r="BC189" i="5" s="1"/>
  <c r="AY199" i="5"/>
  <c r="AY189" i="5" s="1"/>
  <c r="AU199" i="5"/>
  <c r="AU189" i="5" s="1"/>
  <c r="AI199" i="5"/>
  <c r="AA199" i="5"/>
  <c r="AA189" i="5" s="1"/>
  <c r="K199" i="5"/>
  <c r="I199" i="5"/>
  <c r="J199" i="5" s="1"/>
  <c r="BH196" i="5"/>
  <c r="BC196" i="5"/>
  <c r="BC187" i="5" s="1"/>
  <c r="AY196" i="5"/>
  <c r="AY187" i="5" s="1"/>
  <c r="AU196" i="5"/>
  <c r="AI196" i="5"/>
  <c r="AA196" i="5"/>
  <c r="K196" i="5"/>
  <c r="H32" i="7" s="1"/>
  <c r="I196" i="5"/>
  <c r="H196" i="5"/>
  <c r="BL196" i="5" s="1"/>
  <c r="BQ195" i="5"/>
  <c r="BM195" i="5"/>
  <c r="BL195" i="5"/>
  <c r="AY195" i="5"/>
  <c r="AU195" i="5"/>
  <c r="AI195" i="5"/>
  <c r="AA195" i="5"/>
  <c r="K195" i="5"/>
  <c r="I195" i="5"/>
  <c r="J195" i="5" s="1"/>
  <c r="BL194" i="5"/>
  <c r="AY194" i="5"/>
  <c r="AU194" i="5"/>
  <c r="K194" i="5"/>
  <c r="I194" i="5"/>
  <c r="J194" i="5" s="1"/>
  <c r="BQ193" i="5"/>
  <c r="BM193" i="5"/>
  <c r="BL193" i="5"/>
  <c r="AU193" i="5"/>
  <c r="AA193" i="5"/>
  <c r="K193" i="5"/>
  <c r="I193" i="5"/>
  <c r="J193" i="5" s="1"/>
  <c r="BQ192" i="5"/>
  <c r="BM192" i="5"/>
  <c r="BM187" i="5" s="1"/>
  <c r="BL192" i="5"/>
  <c r="AU192" i="5"/>
  <c r="AI192" i="5"/>
  <c r="AE192" i="5"/>
  <c r="AA192" i="5"/>
  <c r="K192" i="5"/>
  <c r="I192" i="5"/>
  <c r="J192" i="5" s="1"/>
  <c r="BQ191" i="5"/>
  <c r="BM191" i="5"/>
  <c r="AU191" i="5"/>
  <c r="AE191" i="5"/>
  <c r="AE188" i="5" s="1"/>
  <c r="AA191" i="5"/>
  <c r="K191" i="5"/>
  <c r="I191" i="5"/>
  <c r="H191" i="5"/>
  <c r="BL191" i="5" s="1"/>
  <c r="BD190" i="5"/>
  <c r="BD17" i="5" s="1"/>
  <c r="BB190" i="5"/>
  <c r="BB17" i="5" s="1"/>
  <c r="BA190" i="5"/>
  <c r="AZ190" i="5"/>
  <c r="AZ17" i="5" s="1"/>
  <c r="AY190" i="5"/>
  <c r="AX190" i="5"/>
  <c r="AX17" i="5" s="1"/>
  <c r="AW190" i="5"/>
  <c r="AW17" i="5" s="1"/>
  <c r="AV190" i="5"/>
  <c r="AV17" i="5" s="1"/>
  <c r="AU190" i="5"/>
  <c r="AU17" i="5" s="1"/>
  <c r="AT190" i="5"/>
  <c r="AT17" i="5" s="1"/>
  <c r="AS190" i="5"/>
  <c r="AR190" i="5"/>
  <c r="AR17" i="5" s="1"/>
  <c r="AQ190" i="5"/>
  <c r="AQ17" i="5" s="1"/>
  <c r="AP190" i="5"/>
  <c r="AP17" i="5" s="1"/>
  <c r="AO190" i="5"/>
  <c r="AN190" i="5"/>
  <c r="AN17" i="5" s="1"/>
  <c r="AM190" i="5"/>
  <c r="AM17" i="5" s="1"/>
  <c r="AL190" i="5"/>
  <c r="AL17" i="5" s="1"/>
  <c r="AK190" i="5"/>
  <c r="AK17" i="5" s="1"/>
  <c r="AJ190" i="5"/>
  <c r="AJ17" i="5" s="1"/>
  <c r="AI190" i="5"/>
  <c r="AH190" i="5"/>
  <c r="AH17" i="5" s="1"/>
  <c r="AG190" i="5"/>
  <c r="AF190" i="5"/>
  <c r="AF17" i="5" s="1"/>
  <c r="AE190" i="5"/>
  <c r="AD190" i="5"/>
  <c r="AD17" i="5" s="1"/>
  <c r="AC190" i="5"/>
  <c r="AB190" i="5"/>
  <c r="AB17" i="5" s="1"/>
  <c r="Z190" i="5"/>
  <c r="Z17" i="5" s="1"/>
  <c r="Y190" i="5"/>
  <c r="X190" i="5"/>
  <c r="W190" i="5"/>
  <c r="W17" i="5" s="1"/>
  <c r="V190" i="5"/>
  <c r="U190" i="5"/>
  <c r="U17" i="5" s="1"/>
  <c r="T190" i="5"/>
  <c r="T17" i="5" s="1"/>
  <c r="S190" i="5"/>
  <c r="S17" i="5" s="1"/>
  <c r="R190" i="5"/>
  <c r="R17" i="5" s="1"/>
  <c r="Q190" i="5"/>
  <c r="Q17" i="5" s="1"/>
  <c r="P190" i="5"/>
  <c r="O190" i="5"/>
  <c r="O17" i="5" s="1"/>
  <c r="N190" i="5"/>
  <c r="N17" i="5" s="1"/>
  <c r="M190" i="5"/>
  <c r="M17" i="5" s="1"/>
  <c r="L190" i="5"/>
  <c r="L17" i="5" s="1"/>
  <c r="K190" i="5"/>
  <c r="K17" i="5" s="1"/>
  <c r="H190" i="5"/>
  <c r="H17" i="5" s="1"/>
  <c r="BM189" i="5"/>
  <c r="BK189" i="5"/>
  <c r="BJ189" i="5"/>
  <c r="BQ189" i="5" s="1"/>
  <c r="BH189" i="5"/>
  <c r="BH239" i="5" s="1"/>
  <c r="BG189" i="5"/>
  <c r="BG239" i="5" s="1"/>
  <c r="BF189" i="5"/>
  <c r="BF239" i="5" s="1"/>
  <c r="BE189" i="5"/>
  <c r="BE239" i="5" s="1"/>
  <c r="BD189" i="5"/>
  <c r="BB189" i="5"/>
  <c r="BA189" i="5"/>
  <c r="BA239" i="5" s="1"/>
  <c r="AZ189" i="5"/>
  <c r="AX189" i="5"/>
  <c r="AW189" i="5"/>
  <c r="AV189" i="5"/>
  <c r="AT189" i="5"/>
  <c r="AS189" i="5"/>
  <c r="AR189" i="5"/>
  <c r="AQ189" i="5"/>
  <c r="AP189" i="5"/>
  <c r="AO189" i="5"/>
  <c r="AN189" i="5"/>
  <c r="AM189" i="5"/>
  <c r="AL189" i="5"/>
  <c r="AK189" i="5"/>
  <c r="AJ189" i="5"/>
  <c r="AH189" i="5"/>
  <c r="AG189" i="5"/>
  <c r="AF189" i="5"/>
  <c r="AF239" i="5" s="1"/>
  <c r="AE189" i="5"/>
  <c r="AD189" i="5"/>
  <c r="AC189" i="5"/>
  <c r="AC239" i="5" s="1"/>
  <c r="AB189" i="5"/>
  <c r="Z189" i="5"/>
  <c r="Z239" i="5" s="1"/>
  <c r="Y189" i="5"/>
  <c r="X189" i="5"/>
  <c r="W189" i="5"/>
  <c r="V189" i="5"/>
  <c r="V239" i="5" s="1"/>
  <c r="U189" i="5"/>
  <c r="T189" i="5"/>
  <c r="T239" i="5" s="1"/>
  <c r="S189" i="5"/>
  <c r="S239" i="5" s="1"/>
  <c r="R189" i="5"/>
  <c r="Q189" i="5"/>
  <c r="Q239" i="5" s="1"/>
  <c r="P189" i="5"/>
  <c r="P239" i="5" s="1"/>
  <c r="O189" i="5"/>
  <c r="O239" i="5" s="1"/>
  <c r="N189" i="5"/>
  <c r="N239" i="5" s="1"/>
  <c r="M189" i="5"/>
  <c r="M239" i="5" s="1"/>
  <c r="L189" i="5"/>
  <c r="H189" i="5"/>
  <c r="BD188" i="5"/>
  <c r="BD15" i="5" s="1"/>
  <c r="BB188" i="5"/>
  <c r="BB15" i="5" s="1"/>
  <c r="BA188" i="5"/>
  <c r="BA15" i="5" s="1"/>
  <c r="AZ188" i="5"/>
  <c r="AZ15" i="5" s="1"/>
  <c r="AX188" i="5"/>
  <c r="AX15" i="5" s="1"/>
  <c r="AW188" i="5"/>
  <c r="AW15" i="5" s="1"/>
  <c r="AV188" i="5"/>
  <c r="AV15" i="5" s="1"/>
  <c r="AT188" i="5"/>
  <c r="AT15" i="5" s="1"/>
  <c r="AS188" i="5"/>
  <c r="AS15" i="5" s="1"/>
  <c r="AR188" i="5"/>
  <c r="AR15" i="5" s="1"/>
  <c r="AQ188" i="5"/>
  <c r="AP188" i="5"/>
  <c r="AP15" i="5" s="1"/>
  <c r="AO188" i="5"/>
  <c r="AO15" i="5" s="1"/>
  <c r="AN188" i="5"/>
  <c r="AN15" i="5" s="1"/>
  <c r="AM188" i="5"/>
  <c r="AL188" i="5"/>
  <c r="AL15" i="5" s="1"/>
  <c r="AK188" i="5"/>
  <c r="AK15" i="5" s="1"/>
  <c r="AJ188" i="5"/>
  <c r="AJ15" i="5" s="1"/>
  <c r="AI188" i="5"/>
  <c r="AH188" i="5"/>
  <c r="AG188" i="5"/>
  <c r="AF188" i="5"/>
  <c r="AD188" i="5"/>
  <c r="AC188" i="5"/>
  <c r="AB188" i="5"/>
  <c r="Z188" i="5"/>
  <c r="Y188" i="5"/>
  <c r="X188" i="5"/>
  <c r="W188" i="5"/>
  <c r="V188" i="5"/>
  <c r="U188" i="5"/>
  <c r="T188" i="5"/>
  <c r="S188" i="5"/>
  <c r="R188" i="5"/>
  <c r="Q188" i="5"/>
  <c r="P188" i="5"/>
  <c r="O188" i="5"/>
  <c r="N188" i="5"/>
  <c r="M188" i="5"/>
  <c r="L188" i="5"/>
  <c r="H188" i="5"/>
  <c r="BK187" i="5"/>
  <c r="BJ187" i="5"/>
  <c r="BQ187" i="5" s="1"/>
  <c r="BH187" i="5"/>
  <c r="BG187" i="5"/>
  <c r="BG238" i="5" s="1"/>
  <c r="BF187" i="5"/>
  <c r="BF238" i="5" s="1"/>
  <c r="BE187" i="5"/>
  <c r="BE238" i="5" s="1"/>
  <c r="BD187" i="5"/>
  <c r="BB187" i="5"/>
  <c r="BB238" i="5" s="1"/>
  <c r="BA187" i="5"/>
  <c r="AZ187" i="5"/>
  <c r="AX187" i="5"/>
  <c r="AW187" i="5"/>
  <c r="AV187" i="5"/>
  <c r="AV238" i="5" s="1"/>
  <c r="AT187" i="5"/>
  <c r="AS187" i="5"/>
  <c r="AR187" i="5"/>
  <c r="AQ187" i="5"/>
  <c r="AP187" i="5"/>
  <c r="AP238" i="5" s="1"/>
  <c r="AO187" i="5"/>
  <c r="AN187" i="5"/>
  <c r="AM187" i="5"/>
  <c r="AL187" i="5"/>
  <c r="AK187" i="5"/>
  <c r="AJ187" i="5"/>
  <c r="AH187" i="5"/>
  <c r="AG187" i="5"/>
  <c r="AF187" i="5"/>
  <c r="AE187" i="5"/>
  <c r="AD187" i="5"/>
  <c r="AD238" i="5" s="1"/>
  <c r="AC187" i="5"/>
  <c r="AC238" i="5" s="1"/>
  <c r="AB187" i="5"/>
  <c r="Z187" i="5"/>
  <c r="Y187" i="5"/>
  <c r="X187" i="5"/>
  <c r="W187" i="5"/>
  <c r="W238" i="5" s="1"/>
  <c r="V187" i="5"/>
  <c r="U187" i="5"/>
  <c r="T187" i="5"/>
  <c r="S187" i="5"/>
  <c r="S238" i="5" s="1"/>
  <c r="R187" i="5"/>
  <c r="R238" i="5" s="1"/>
  <c r="Q187" i="5"/>
  <c r="Q238" i="5" s="1"/>
  <c r="P187" i="5"/>
  <c r="P238" i="5" s="1"/>
  <c r="O187" i="5"/>
  <c r="N187" i="5"/>
  <c r="N238" i="5" s="1"/>
  <c r="M187" i="5"/>
  <c r="M238" i="5" s="1"/>
  <c r="L187" i="5"/>
  <c r="L238" i="5" s="1"/>
  <c r="BQ186" i="5"/>
  <c r="BQ185" i="5"/>
  <c r="BL185" i="5"/>
  <c r="BH185" i="5"/>
  <c r="BC185" i="5"/>
  <c r="AY185" i="5"/>
  <c r="AU185" i="5"/>
  <c r="AM185" i="5"/>
  <c r="AI185" i="5"/>
  <c r="AC185" i="5"/>
  <c r="AE185" i="5" s="1"/>
  <c r="AB185" i="5"/>
  <c r="Y185" i="5"/>
  <c r="AA185" i="5" s="1"/>
  <c r="X185" i="5"/>
  <c r="W185" i="5"/>
  <c r="Q185" i="5"/>
  <c r="S185" i="5" s="1"/>
  <c r="P185" i="5"/>
  <c r="K185" i="5"/>
  <c r="AA184" i="5"/>
  <c r="K184" i="5"/>
  <c r="I184" i="5"/>
  <c r="J184" i="5" s="1"/>
  <c r="BL183" i="5"/>
  <c r="BH183" i="5"/>
  <c r="BC183" i="5"/>
  <c r="AY183" i="5"/>
  <c r="AU183" i="5"/>
  <c r="AM183" i="5"/>
  <c r="AQ183" i="5" s="1"/>
  <c r="AI183" i="5"/>
  <c r="AE183" i="5"/>
  <c r="AA183" i="5"/>
  <c r="W183" i="5"/>
  <c r="K183" i="5"/>
  <c r="I183" i="5"/>
  <c r="J183" i="5" s="1"/>
  <c r="BQ182" i="5"/>
  <c r="BL182" i="5"/>
  <c r="BH182" i="5"/>
  <c r="BC182" i="5"/>
  <c r="AY182" i="5"/>
  <c r="AU182" i="5"/>
  <c r="AM182" i="5"/>
  <c r="AQ182" i="5" s="1"/>
  <c r="AI182" i="5"/>
  <c r="AE182" i="5"/>
  <c r="AA182" i="5"/>
  <c r="W182" i="5"/>
  <c r="S182" i="5"/>
  <c r="K182" i="5"/>
  <c r="I182" i="5"/>
  <c r="J182" i="5" s="1"/>
  <c r="BL181" i="5"/>
  <c r="BH181" i="5"/>
  <c r="BC181" i="5"/>
  <c r="AY181" i="5"/>
  <c r="AU181" i="5"/>
  <c r="AM181" i="5"/>
  <c r="AQ181" i="5" s="1"/>
  <c r="AI181" i="5"/>
  <c r="AE181" i="5"/>
  <c r="Y181" i="5"/>
  <c r="AA181" i="5" s="1"/>
  <c r="X181" i="5"/>
  <c r="I181" i="5" s="1"/>
  <c r="J181" i="5" s="1"/>
  <c r="W181" i="5"/>
  <c r="K181" i="5"/>
  <c r="BQ180" i="5"/>
  <c r="BL180" i="5"/>
  <c r="BH180" i="5"/>
  <c r="BC180" i="5"/>
  <c r="AY180" i="5"/>
  <c r="AU180" i="5"/>
  <c r="AM180" i="5"/>
  <c r="AQ180" i="5" s="1"/>
  <c r="AI180" i="5"/>
  <c r="AE180" i="5"/>
  <c r="Y180" i="5"/>
  <c r="X180" i="5"/>
  <c r="I180" i="5" s="1"/>
  <c r="J180" i="5" s="1"/>
  <c r="W180" i="5"/>
  <c r="S180" i="5"/>
  <c r="K180" i="5"/>
  <c r="BL179" i="5"/>
  <c r="BH179" i="5"/>
  <c r="BC179" i="5"/>
  <c r="AY179" i="5"/>
  <c r="AU179" i="5"/>
  <c r="AM179" i="5"/>
  <c r="AI179" i="5"/>
  <c r="AE179" i="5"/>
  <c r="Y179" i="5"/>
  <c r="AA179" i="5" s="1"/>
  <c r="X179" i="5"/>
  <c r="I179" i="5" s="1"/>
  <c r="J179" i="5" s="1"/>
  <c r="W179" i="5"/>
  <c r="K179" i="5"/>
  <c r="BQ178" i="5"/>
  <c r="BL178" i="5"/>
  <c r="BH178" i="5"/>
  <c r="BC178" i="5"/>
  <c r="AY178" i="5"/>
  <c r="AU178" i="5"/>
  <c r="AI178" i="5"/>
  <c r="AM178" i="5" s="1"/>
  <c r="AQ178" i="5" s="1"/>
  <c r="AE178" i="5"/>
  <c r="Z178" i="5"/>
  <c r="K178" i="5" s="1"/>
  <c r="Y178" i="5"/>
  <c r="X178" i="5"/>
  <c r="U178" i="5"/>
  <c r="W178" i="5" s="1"/>
  <c r="T178" i="5"/>
  <c r="Q178" i="5"/>
  <c r="S178" i="5" s="1"/>
  <c r="P178" i="5"/>
  <c r="BQ177" i="5"/>
  <c r="BL177" i="5"/>
  <c r="BH177" i="5"/>
  <c r="BC177" i="5"/>
  <c r="AY177" i="5"/>
  <c r="AU177" i="5"/>
  <c r="AI177" i="5"/>
  <c r="AE177" i="5"/>
  <c r="AA177" i="5"/>
  <c r="W177" i="5"/>
  <c r="S177" i="5"/>
  <c r="K177" i="5"/>
  <c r="I177" i="5"/>
  <c r="J177" i="5" s="1"/>
  <c r="BE176" i="5"/>
  <c r="BD176" i="5"/>
  <c r="BB176" i="5"/>
  <c r="BA176" i="5"/>
  <c r="AZ176" i="5"/>
  <c r="AX176" i="5"/>
  <c r="AW176" i="5"/>
  <c r="AV176" i="5"/>
  <c r="AT176" i="5"/>
  <c r="AS176" i="5"/>
  <c r="AR176" i="5"/>
  <c r="AP176" i="5"/>
  <c r="AO176" i="5"/>
  <c r="AN176" i="5"/>
  <c r="AL176" i="5"/>
  <c r="AK176" i="5"/>
  <c r="AJ176" i="5"/>
  <c r="AH176" i="5"/>
  <c r="AG176" i="5"/>
  <c r="AF176" i="5"/>
  <c r="AD176" i="5"/>
  <c r="AC176" i="5"/>
  <c r="AB176" i="5"/>
  <c r="Y176" i="5"/>
  <c r="X176" i="5"/>
  <c r="V176" i="5"/>
  <c r="U176" i="5"/>
  <c r="R176" i="5"/>
  <c r="O176" i="5"/>
  <c r="N176" i="5"/>
  <c r="M176" i="5"/>
  <c r="L176" i="5"/>
  <c r="H176" i="5"/>
  <c r="BM175" i="5"/>
  <c r="BK175" i="5"/>
  <c r="BJ175" i="5"/>
  <c r="BG175" i="5"/>
  <c r="BF175" i="5"/>
  <c r="BE175" i="5"/>
  <c r="BD175" i="5"/>
  <c r="BB175" i="5"/>
  <c r="BA175" i="5"/>
  <c r="AZ175" i="5"/>
  <c r="AX175" i="5"/>
  <c r="AW175" i="5"/>
  <c r="AV175" i="5"/>
  <c r="AT175" i="5"/>
  <c r="AS175" i="5"/>
  <c r="AR175" i="5"/>
  <c r="AP175" i="5"/>
  <c r="AO175" i="5"/>
  <c r="AN175" i="5"/>
  <c r="AL175" i="5"/>
  <c r="AK175" i="5"/>
  <c r="AJ175" i="5"/>
  <c r="AH175" i="5"/>
  <c r="AG175" i="5"/>
  <c r="AF175" i="5"/>
  <c r="AD175" i="5"/>
  <c r="AC175" i="5"/>
  <c r="AB175" i="5"/>
  <c r="Z175" i="5"/>
  <c r="V175" i="5"/>
  <c r="U175" i="5"/>
  <c r="T175" i="5"/>
  <c r="R175" i="5"/>
  <c r="Q175" i="5"/>
  <c r="P175" i="5"/>
  <c r="O175" i="5"/>
  <c r="N175" i="5"/>
  <c r="M175" i="5"/>
  <c r="L175" i="5"/>
  <c r="H175" i="5"/>
  <c r="BQ174" i="5"/>
  <c r="BL174" i="5"/>
  <c r="BL168" i="5" s="1"/>
  <c r="AY174" i="5"/>
  <c r="AY168" i="5" s="1"/>
  <c r="AU174" i="5"/>
  <c r="AU168" i="5" s="1"/>
  <c r="AQ174" i="5"/>
  <c r="AQ168" i="5" s="1"/>
  <c r="K174" i="5"/>
  <c r="I174" i="5"/>
  <c r="J174" i="5" s="1"/>
  <c r="BQ173" i="5"/>
  <c r="BL173" i="5"/>
  <c r="BL167" i="5" s="1"/>
  <c r="BC173" i="5"/>
  <c r="BC167" i="5" s="1"/>
  <c r="AY173" i="5"/>
  <c r="AY167" i="5" s="1"/>
  <c r="AU173" i="5"/>
  <c r="AQ173" i="5"/>
  <c r="K173" i="5"/>
  <c r="I173" i="5"/>
  <c r="J173" i="5" s="1"/>
  <c r="K172" i="5"/>
  <c r="I172" i="5"/>
  <c r="J172" i="5" s="1"/>
  <c r="K171" i="5"/>
  <c r="I171" i="5"/>
  <c r="J171" i="5" s="1"/>
  <c r="K170" i="5"/>
  <c r="I170" i="5"/>
  <c r="J170" i="5" s="1"/>
  <c r="K169" i="5"/>
  <c r="I169" i="5"/>
  <c r="BM168" i="5"/>
  <c r="BK168" i="5"/>
  <c r="BJ168" i="5"/>
  <c r="BQ168" i="5" s="1"/>
  <c r="BH168" i="5"/>
  <c r="BF168" i="5"/>
  <c r="BE168" i="5"/>
  <c r="BD168" i="5"/>
  <c r="BC168" i="5"/>
  <c r="BB168" i="5"/>
  <c r="BA168" i="5"/>
  <c r="AZ168" i="5"/>
  <c r="AX168" i="5"/>
  <c r="AW168" i="5"/>
  <c r="AV168" i="5"/>
  <c r="AT168" i="5"/>
  <c r="AS168" i="5"/>
  <c r="AR168" i="5"/>
  <c r="AP168" i="5"/>
  <c r="AO168" i="5"/>
  <c r="AN168" i="5"/>
  <c r="AM168" i="5"/>
  <c r="AL168" i="5"/>
  <c r="AK168" i="5"/>
  <c r="AJ168" i="5"/>
  <c r="AI168" i="5"/>
  <c r="AH168" i="5"/>
  <c r="AG168" i="5"/>
  <c r="AF168" i="5"/>
  <c r="AE168" i="5"/>
  <c r="AD168" i="5"/>
  <c r="AC168" i="5"/>
  <c r="AB168" i="5"/>
  <c r="AA168" i="5"/>
  <c r="Z168" i="5"/>
  <c r="Y168" i="5"/>
  <c r="X168" i="5"/>
  <c r="W168" i="5"/>
  <c r="V168" i="5"/>
  <c r="U168" i="5"/>
  <c r="T168" i="5"/>
  <c r="S168" i="5"/>
  <c r="R168" i="5"/>
  <c r="Q168" i="5"/>
  <c r="P168" i="5"/>
  <c r="O168" i="5"/>
  <c r="N168" i="5"/>
  <c r="M168" i="5"/>
  <c r="L168" i="5"/>
  <c r="H168" i="5"/>
  <c r="BM167" i="5"/>
  <c r="BK167" i="5"/>
  <c r="BJ167" i="5"/>
  <c r="BH167" i="5"/>
  <c r="BG167" i="5"/>
  <c r="BF167" i="5"/>
  <c r="BE167" i="5"/>
  <c r="BD167" i="5"/>
  <c r="BB167" i="5"/>
  <c r="BA167" i="5"/>
  <c r="AZ167" i="5"/>
  <c r="AX167" i="5"/>
  <c r="AW167" i="5"/>
  <c r="AV167" i="5"/>
  <c r="AU167" i="5"/>
  <c r="AT167" i="5"/>
  <c r="AS167" i="5"/>
  <c r="AR167" i="5"/>
  <c r="AQ167" i="5"/>
  <c r="AP167" i="5"/>
  <c r="AO167" i="5"/>
  <c r="AN167" i="5"/>
  <c r="AM167" i="5"/>
  <c r="AL167" i="5"/>
  <c r="AK167" i="5"/>
  <c r="AJ167" i="5"/>
  <c r="AI167" i="5"/>
  <c r="AH167" i="5"/>
  <c r="AG167" i="5"/>
  <c r="AF167" i="5"/>
  <c r="AE167" i="5"/>
  <c r="AD167" i="5"/>
  <c r="AC167" i="5"/>
  <c r="AB167" i="5"/>
  <c r="AA167" i="5"/>
  <c r="Z167" i="5"/>
  <c r="Y167" i="5"/>
  <c r="X167" i="5"/>
  <c r="W167" i="5"/>
  <c r="V167" i="5"/>
  <c r="U167" i="5"/>
  <c r="T167" i="5"/>
  <c r="S167" i="5"/>
  <c r="R167" i="5"/>
  <c r="Q167" i="5"/>
  <c r="P167" i="5"/>
  <c r="O167" i="5"/>
  <c r="N167" i="5"/>
  <c r="M167" i="5"/>
  <c r="L167" i="5"/>
  <c r="H167" i="5"/>
  <c r="BL166" i="5"/>
  <c r="W166" i="5"/>
  <c r="AA166" i="5" s="1"/>
  <c r="K166" i="5"/>
  <c r="I166" i="5"/>
  <c r="J166" i="5" s="1"/>
  <c r="BL165" i="5"/>
  <c r="AM165" i="5"/>
  <c r="W165" i="5"/>
  <c r="AA165" i="5" s="1"/>
  <c r="K165" i="5"/>
  <c r="I165" i="5"/>
  <c r="J165" i="5" s="1"/>
  <c r="BL164" i="5"/>
  <c r="AM164" i="5"/>
  <c r="W164" i="5"/>
  <c r="AA164" i="5" s="1"/>
  <c r="K164" i="5"/>
  <c r="I164" i="5"/>
  <c r="J164" i="5" s="1"/>
  <c r="BH163" i="5"/>
  <c r="AY163" i="5"/>
  <c r="AM163" i="5"/>
  <c r="AI163" i="5"/>
  <c r="Y163" i="5"/>
  <c r="X163" i="5"/>
  <c r="I163" i="5" s="1"/>
  <c r="W163" i="5"/>
  <c r="K163" i="5"/>
  <c r="H163" i="5"/>
  <c r="BL163" i="5" s="1"/>
  <c r="BQ162" i="5"/>
  <c r="BH162" i="5"/>
  <c r="BC162" i="5"/>
  <c r="AY162" i="5"/>
  <c r="AM162" i="5"/>
  <c r="AI162" i="5"/>
  <c r="AE162" i="5"/>
  <c r="Y162" i="5"/>
  <c r="X162" i="5"/>
  <c r="I162" i="5" s="1"/>
  <c r="W162" i="5"/>
  <c r="K162" i="5"/>
  <c r="H162" i="5"/>
  <c r="BL162" i="5" s="1"/>
  <c r="BL161" i="5"/>
  <c r="BH161" i="5"/>
  <c r="AY161" i="5"/>
  <c r="AM161" i="5"/>
  <c r="AI161" i="5"/>
  <c r="Y161" i="5"/>
  <c r="X161" i="5"/>
  <c r="I161" i="5" s="1"/>
  <c r="J161" i="5" s="1"/>
  <c r="W161" i="5"/>
  <c r="K161" i="5"/>
  <c r="H161" i="5"/>
  <c r="BQ160" i="5"/>
  <c r="BH160" i="5"/>
  <c r="BC160" i="5"/>
  <c r="AY160" i="5"/>
  <c r="AM160" i="5"/>
  <c r="AI160" i="5"/>
  <c r="AE160" i="5"/>
  <c r="Y160" i="5"/>
  <c r="X160" i="5"/>
  <c r="I160" i="5" s="1"/>
  <c r="W160" i="5"/>
  <c r="K160" i="5"/>
  <c r="H160" i="5"/>
  <c r="BL160" i="5" s="1"/>
  <c r="BQ159" i="5"/>
  <c r="BL159" i="5"/>
  <c r="BH159" i="5"/>
  <c r="BC159" i="5"/>
  <c r="AY159" i="5"/>
  <c r="AU159" i="5"/>
  <c r="AQ159" i="5"/>
  <c r="AM159" i="5"/>
  <c r="AI159" i="5"/>
  <c r="AE159" i="5"/>
  <c r="AA159" i="5"/>
  <c r="W159" i="5"/>
  <c r="K159" i="5"/>
  <c r="I159" i="5"/>
  <c r="J159" i="5" s="1"/>
  <c r="BL158" i="5"/>
  <c r="BH158" i="5"/>
  <c r="AY158" i="5"/>
  <c r="AU158" i="5"/>
  <c r="AQ158" i="5"/>
  <c r="AM158" i="5"/>
  <c r="AI158" i="5"/>
  <c r="AC158" i="5"/>
  <c r="AE158" i="5" s="1"/>
  <c r="AB158" i="5"/>
  <c r="I158" i="5" s="1"/>
  <c r="J158" i="5" s="1"/>
  <c r="AA158" i="5"/>
  <c r="K158" i="5"/>
  <c r="BH157" i="5"/>
  <c r="AY157" i="5"/>
  <c r="AU157" i="5"/>
  <c r="AQ157" i="5"/>
  <c r="AM157" i="5"/>
  <c r="AI157" i="5"/>
  <c r="AC157" i="5"/>
  <c r="AE157" i="5" s="1"/>
  <c r="AB157" i="5"/>
  <c r="I157" i="5" s="1"/>
  <c r="AA157" i="5"/>
  <c r="W157" i="5"/>
  <c r="K157" i="5"/>
  <c r="H157" i="5"/>
  <c r="BL157" i="5" s="1"/>
  <c r="BL156" i="5"/>
  <c r="BH156" i="5"/>
  <c r="BC156" i="5"/>
  <c r="AY156" i="5"/>
  <c r="AU156" i="5"/>
  <c r="AQ156" i="5"/>
  <c r="AM156" i="5"/>
  <c r="AI156" i="5"/>
  <c r="AE156" i="5"/>
  <c r="Y156" i="5"/>
  <c r="AA156" i="5" s="1"/>
  <c r="X156" i="5"/>
  <c r="I156" i="5" s="1"/>
  <c r="J156" i="5" s="1"/>
  <c r="W156" i="5"/>
  <c r="K156" i="5"/>
  <c r="BQ155" i="5"/>
  <c r="BL155" i="5"/>
  <c r="BH155" i="5"/>
  <c r="BC155" i="5"/>
  <c r="AY155" i="5"/>
  <c r="AU155" i="5"/>
  <c r="AQ155" i="5"/>
  <c r="AM155" i="5"/>
  <c r="AI155" i="5"/>
  <c r="AE155" i="5"/>
  <c r="Y155" i="5"/>
  <c r="AA155" i="5" s="1"/>
  <c r="X155" i="5"/>
  <c r="I155" i="5" s="1"/>
  <c r="J155" i="5" s="1"/>
  <c r="W155" i="5"/>
  <c r="S155" i="5"/>
  <c r="K155" i="5"/>
  <c r="BL154" i="5"/>
  <c r="BH154" i="5"/>
  <c r="AY154" i="5"/>
  <c r="AU154" i="5"/>
  <c r="AQ154" i="5"/>
  <c r="AM154" i="5"/>
  <c r="AI154" i="5"/>
  <c r="AE154" i="5"/>
  <c r="AA154" i="5"/>
  <c r="W154" i="5"/>
  <c r="K154" i="5"/>
  <c r="I154" i="5"/>
  <c r="J154" i="5" s="1"/>
  <c r="BL153" i="5"/>
  <c r="BH153" i="5"/>
  <c r="AY153" i="5"/>
  <c r="AU153" i="5"/>
  <c r="AQ153" i="5"/>
  <c r="AM153" i="5"/>
  <c r="AI153" i="5"/>
  <c r="AE153" i="5"/>
  <c r="Y153" i="5"/>
  <c r="AA153" i="5" s="1"/>
  <c r="X153" i="5"/>
  <c r="I153" i="5" s="1"/>
  <c r="J153" i="5" s="1"/>
  <c r="W153" i="5"/>
  <c r="K153" i="5"/>
  <c r="BQ152" i="5"/>
  <c r="BL152" i="5"/>
  <c r="BH152" i="5"/>
  <c r="BC152" i="5"/>
  <c r="AY152" i="5"/>
  <c r="AU152" i="5"/>
  <c r="AQ152" i="5"/>
  <c r="AM152" i="5"/>
  <c r="AI152" i="5"/>
  <c r="AE152" i="5"/>
  <c r="Y152" i="5"/>
  <c r="AA152" i="5" s="1"/>
  <c r="X152" i="5"/>
  <c r="I152" i="5" s="1"/>
  <c r="J152" i="5" s="1"/>
  <c r="W152" i="5"/>
  <c r="K152" i="5"/>
  <c r="BL151" i="5"/>
  <c r="BH151" i="5"/>
  <c r="AY151" i="5"/>
  <c r="AU151" i="5"/>
  <c r="AQ151" i="5"/>
  <c r="AM151" i="5"/>
  <c r="AI151" i="5"/>
  <c r="AE151" i="5"/>
  <c r="Y151" i="5"/>
  <c r="AA151" i="5" s="1"/>
  <c r="X151" i="5"/>
  <c r="I151" i="5" s="1"/>
  <c r="J151" i="5" s="1"/>
  <c r="W151" i="5"/>
  <c r="K151" i="5"/>
  <c r="BL150" i="5"/>
  <c r="AM150" i="5"/>
  <c r="AI150" i="5"/>
  <c r="AE150" i="5"/>
  <c r="I150" i="5"/>
  <c r="J150" i="5" s="1"/>
  <c r="BQ149" i="5"/>
  <c r="BL149" i="5"/>
  <c r="BL143" i="5" s="1"/>
  <c r="BH149" i="5"/>
  <c r="BC149" i="5"/>
  <c r="AY149" i="5"/>
  <c r="AU149" i="5"/>
  <c r="AQ149" i="5"/>
  <c r="AM149" i="5"/>
  <c r="AM236" i="5" s="1"/>
  <c r="AI149" i="5"/>
  <c r="AE149" i="5"/>
  <c r="AA149" i="5"/>
  <c r="W149" i="5"/>
  <c r="W236" i="5" s="1"/>
  <c r="K149" i="5"/>
  <c r="K143" i="5" s="1"/>
  <c r="I149" i="5"/>
  <c r="J149" i="5" s="1"/>
  <c r="J143" i="5" s="1"/>
  <c r="BL148" i="5"/>
  <c r="BH148" i="5"/>
  <c r="BD148" i="5"/>
  <c r="AY148" i="5"/>
  <c r="AQ148" i="5"/>
  <c r="AM148" i="5"/>
  <c r="AI148" i="5"/>
  <c r="AC148" i="5"/>
  <c r="AB148" i="5"/>
  <c r="I148" i="5" s="1"/>
  <c r="J148" i="5" s="1"/>
  <c r="AA148" i="5"/>
  <c r="K148" i="5"/>
  <c r="BL147" i="5"/>
  <c r="BH147" i="5"/>
  <c r="BD147" i="5"/>
  <c r="AY147" i="5"/>
  <c r="AQ147" i="5"/>
  <c r="AM147" i="5"/>
  <c r="AI147" i="5"/>
  <c r="AE147" i="5"/>
  <c r="AU147" i="5" s="1"/>
  <c r="AA147" i="5"/>
  <c r="K147" i="5"/>
  <c r="BH146" i="5"/>
  <c r="AY146" i="5"/>
  <c r="AQ146" i="5"/>
  <c r="AM146" i="5"/>
  <c r="AI146" i="5"/>
  <c r="AC146" i="5"/>
  <c r="AE146" i="5" s="1"/>
  <c r="AU146" i="5" s="1"/>
  <c r="AB146" i="5"/>
  <c r="Y146" i="5"/>
  <c r="X146" i="5"/>
  <c r="W146" i="5"/>
  <c r="K146" i="5"/>
  <c r="H146" i="5"/>
  <c r="BL146" i="5" s="1"/>
  <c r="BH145" i="5"/>
  <c r="BC145" i="5"/>
  <c r="AY145" i="5"/>
  <c r="AQ145" i="5"/>
  <c r="AM145" i="5"/>
  <c r="AI145" i="5"/>
  <c r="AC145" i="5"/>
  <c r="AE145" i="5" s="1"/>
  <c r="AB145" i="5"/>
  <c r="Y145" i="5"/>
  <c r="X145" i="5"/>
  <c r="I145" i="5" s="1"/>
  <c r="J145" i="5" s="1"/>
  <c r="W145" i="5"/>
  <c r="S145" i="5"/>
  <c r="K145" i="5"/>
  <c r="H145" i="5"/>
  <c r="BL145" i="5" s="1"/>
  <c r="BL144" i="5"/>
  <c r="BH144" i="5"/>
  <c r="AI144" i="5"/>
  <c r="AE144" i="5"/>
  <c r="W144" i="5"/>
  <c r="AA144" i="5" s="1"/>
  <c r="K144" i="5"/>
  <c r="I144" i="5"/>
  <c r="J144" i="5" s="1"/>
  <c r="BK143" i="5"/>
  <c r="BJ143" i="5"/>
  <c r="BD143" i="5"/>
  <c r="BB143" i="5"/>
  <c r="BA143" i="5"/>
  <c r="AZ143" i="5"/>
  <c r="AX143" i="5"/>
  <c r="AW143" i="5"/>
  <c r="AV143" i="5"/>
  <c r="AT143" i="5"/>
  <c r="AS143" i="5"/>
  <c r="AR143" i="5"/>
  <c r="AP143" i="5"/>
  <c r="AO143" i="5"/>
  <c r="AN143" i="5"/>
  <c r="AL143" i="5"/>
  <c r="AK143" i="5"/>
  <c r="AJ143" i="5"/>
  <c r="AH143" i="5"/>
  <c r="AG143" i="5"/>
  <c r="AF143" i="5"/>
  <c r="AD143" i="5"/>
  <c r="AC143" i="5"/>
  <c r="AB143" i="5"/>
  <c r="Z143" i="5"/>
  <c r="Y143" i="5"/>
  <c r="X143" i="5"/>
  <c r="V143" i="5"/>
  <c r="U143" i="5"/>
  <c r="T143" i="5"/>
  <c r="S143" i="5"/>
  <c r="R143" i="5"/>
  <c r="Q143" i="5"/>
  <c r="P143" i="5"/>
  <c r="O143" i="5"/>
  <c r="N143" i="5"/>
  <c r="M143" i="5"/>
  <c r="L143" i="5"/>
  <c r="H143" i="5"/>
  <c r="BM142" i="5"/>
  <c r="BK142" i="5"/>
  <c r="BJ142" i="5"/>
  <c r="BG142" i="5"/>
  <c r="BF142" i="5"/>
  <c r="BE142" i="5"/>
  <c r="BB142" i="5"/>
  <c r="BA142" i="5"/>
  <c r="AZ142" i="5"/>
  <c r="AX142" i="5"/>
  <c r="AW142" i="5"/>
  <c r="AV142" i="5"/>
  <c r="AT142" i="5"/>
  <c r="AS142" i="5"/>
  <c r="AR142" i="5"/>
  <c r="AP142" i="5"/>
  <c r="AO142" i="5"/>
  <c r="AN142" i="5"/>
  <c r="AL142" i="5"/>
  <c r="AK142" i="5"/>
  <c r="AJ142" i="5"/>
  <c r="AH142" i="5"/>
  <c r="AG142" i="5"/>
  <c r="AF142" i="5"/>
  <c r="AD142" i="5"/>
  <c r="Z142" i="5"/>
  <c r="V142" i="5"/>
  <c r="U142" i="5"/>
  <c r="T142" i="5"/>
  <c r="R142" i="5"/>
  <c r="Q142" i="5"/>
  <c r="P142" i="5"/>
  <c r="O142" i="5"/>
  <c r="N142" i="5"/>
  <c r="M142" i="5"/>
  <c r="L142" i="5"/>
  <c r="BQ141" i="5"/>
  <c r="BL141" i="5"/>
  <c r="BH141" i="5"/>
  <c r="BC141" i="5"/>
  <c r="AY141" i="5"/>
  <c r="AU141" i="5"/>
  <c r="AQ141" i="5"/>
  <c r="AM141" i="5"/>
  <c r="AI141" i="5"/>
  <c r="AE141" i="5"/>
  <c r="AC141" i="5"/>
  <c r="AB141" i="5"/>
  <c r="Y141" i="5"/>
  <c r="AA141" i="5" s="1"/>
  <c r="X141" i="5"/>
  <c r="V141" i="5"/>
  <c r="K46" i="6" s="1"/>
  <c r="BQ140" i="5"/>
  <c r="BL140" i="5"/>
  <c r="BH140" i="5"/>
  <c r="BC140" i="5"/>
  <c r="AY140" i="5"/>
  <c r="AU140" i="5"/>
  <c r="AQ140" i="5"/>
  <c r="AM140" i="5"/>
  <c r="AI140" i="5"/>
  <c r="AC140" i="5"/>
  <c r="AE140" i="5" s="1"/>
  <c r="AB140" i="5"/>
  <c r="Y140" i="5"/>
  <c r="AA140" i="5" s="1"/>
  <c r="X140" i="5"/>
  <c r="I140" i="5" s="1"/>
  <c r="J140" i="5" s="1"/>
  <c r="V140" i="5"/>
  <c r="V121" i="5" s="1"/>
  <c r="BL139" i="5"/>
  <c r="BH139" i="5"/>
  <c r="BC139" i="5"/>
  <c r="AY139" i="5"/>
  <c r="AU139" i="5"/>
  <c r="AQ139" i="5"/>
  <c r="AM139" i="5"/>
  <c r="AI139" i="5"/>
  <c r="AE139" i="5"/>
  <c r="AA139" i="5"/>
  <c r="W139" i="5"/>
  <c r="K139" i="5"/>
  <c r="I139" i="5"/>
  <c r="J139" i="5" s="1"/>
  <c r="BQ138" i="5"/>
  <c r="BL138" i="5"/>
  <c r="BH138" i="5"/>
  <c r="BC138" i="5"/>
  <c r="AY138" i="5"/>
  <c r="AU138" i="5"/>
  <c r="AQ138" i="5"/>
  <c r="AM138" i="5"/>
  <c r="AI138" i="5"/>
  <c r="AE138" i="5"/>
  <c r="AA138" i="5"/>
  <c r="W138" i="5"/>
  <c r="K138" i="5"/>
  <c r="I138" i="5"/>
  <c r="J138" i="5" s="1"/>
  <c r="BL137" i="5"/>
  <c r="BH137" i="5"/>
  <c r="BC137" i="5"/>
  <c r="AY137" i="5"/>
  <c r="AU137" i="5"/>
  <c r="AQ137" i="5"/>
  <c r="AM137" i="5"/>
  <c r="AI137" i="5"/>
  <c r="AE137" i="5"/>
  <c r="AA137" i="5"/>
  <c r="W137" i="5"/>
  <c r="K137" i="5"/>
  <c r="I137" i="5"/>
  <c r="J137" i="5" s="1"/>
  <c r="BQ136" i="5"/>
  <c r="BL136" i="5"/>
  <c r="BH136" i="5"/>
  <c r="BC136" i="5"/>
  <c r="AY136" i="5"/>
  <c r="AU136" i="5"/>
  <c r="AQ136" i="5"/>
  <c r="AM136" i="5"/>
  <c r="AI136" i="5"/>
  <c r="AE136" i="5"/>
  <c r="AA136" i="5"/>
  <c r="W136" i="5"/>
  <c r="K136" i="5"/>
  <c r="I136" i="5"/>
  <c r="BL135" i="5"/>
  <c r="BH135" i="5"/>
  <c r="BC135" i="5"/>
  <c r="AY135" i="5"/>
  <c r="AU135" i="5"/>
  <c r="AQ135" i="5"/>
  <c r="AM135" i="5"/>
  <c r="AI135" i="5"/>
  <c r="AC135" i="5"/>
  <c r="AE135" i="5" s="1"/>
  <c r="AB135" i="5"/>
  <c r="I135" i="5" s="1"/>
  <c r="J135" i="5" s="1"/>
  <c r="AA135" i="5"/>
  <c r="K135" i="5"/>
  <c r="BL134" i="5"/>
  <c r="BH134" i="5"/>
  <c r="BC134" i="5"/>
  <c r="AY134" i="5"/>
  <c r="AU134" i="5"/>
  <c r="AQ134" i="5"/>
  <c r="AM134" i="5"/>
  <c r="AI134" i="5"/>
  <c r="AE134" i="5"/>
  <c r="AA134" i="5"/>
  <c r="K134" i="5"/>
  <c r="I134" i="5"/>
  <c r="J134" i="5" s="1"/>
  <c r="BQ133" i="5"/>
  <c r="BL133" i="5"/>
  <c r="BH133" i="5"/>
  <c r="BC133" i="5"/>
  <c r="AY133" i="5"/>
  <c r="AU133" i="5"/>
  <c r="AQ133" i="5"/>
  <c r="AM133" i="5"/>
  <c r="AI133" i="5"/>
  <c r="AE133" i="5"/>
  <c r="AA133" i="5"/>
  <c r="W133" i="5"/>
  <c r="W232" i="5" s="1"/>
  <c r="K133" i="5"/>
  <c r="I133" i="5"/>
  <c r="J133" i="5" s="1"/>
  <c r="BH132" i="5"/>
  <c r="BC132" i="5"/>
  <c r="AY132" i="5"/>
  <c r="AU132" i="5"/>
  <c r="AQ132" i="5"/>
  <c r="AM132" i="5"/>
  <c r="AI132" i="5"/>
  <c r="AE132" i="5"/>
  <c r="AA132" i="5"/>
  <c r="W132" i="5"/>
  <c r="K132" i="5"/>
  <c r="I132" i="5"/>
  <c r="H132" i="5"/>
  <c r="BL132" i="5" s="1"/>
  <c r="BQ131" i="5"/>
  <c r="BH131" i="5"/>
  <c r="BC131" i="5"/>
  <c r="AY131" i="5"/>
  <c r="AU131" i="5"/>
  <c r="AQ131" i="5"/>
  <c r="AM131" i="5"/>
  <c r="AI131" i="5"/>
  <c r="AE131" i="5"/>
  <c r="AA131" i="5"/>
  <c r="W131" i="5"/>
  <c r="K131" i="5"/>
  <c r="I131" i="5"/>
  <c r="H131" i="5"/>
  <c r="BL131" i="5" s="1"/>
  <c r="BQ130" i="5"/>
  <c r="BL130" i="5"/>
  <c r="BH130" i="5"/>
  <c r="BC130" i="5"/>
  <c r="AY130" i="5"/>
  <c r="AU130" i="5"/>
  <c r="AQ130" i="5"/>
  <c r="AM130" i="5"/>
  <c r="AI130" i="5"/>
  <c r="AE130" i="5"/>
  <c r="AA130" i="5"/>
  <c r="W130" i="5"/>
  <c r="S130" i="5"/>
  <c r="S121" i="5" s="1"/>
  <c r="K130" i="5"/>
  <c r="I130" i="5"/>
  <c r="J130" i="5" s="1"/>
  <c r="BL129" i="5"/>
  <c r="BH129" i="5"/>
  <c r="BC129" i="5"/>
  <c r="AY129" i="5"/>
  <c r="AU129" i="5"/>
  <c r="AQ129" i="5"/>
  <c r="AM129" i="5"/>
  <c r="AI129" i="5"/>
  <c r="AC129" i="5"/>
  <c r="AE129" i="5" s="1"/>
  <c r="AB129" i="5"/>
  <c r="I129" i="5" s="1"/>
  <c r="J129" i="5" s="1"/>
  <c r="AA129" i="5"/>
  <c r="W129" i="5"/>
  <c r="K129" i="5"/>
  <c r="BQ128" i="5"/>
  <c r="BH128" i="5"/>
  <c r="BC128" i="5"/>
  <c r="AY128" i="5"/>
  <c r="AU128" i="5"/>
  <c r="AQ128" i="5"/>
  <c r="AM128" i="5"/>
  <c r="AI128" i="5"/>
  <c r="AC128" i="5"/>
  <c r="AE128" i="5" s="1"/>
  <c r="AB128" i="5"/>
  <c r="I128" i="5" s="1"/>
  <c r="W128" i="5"/>
  <c r="AA128" i="5" s="1"/>
  <c r="K128" i="5"/>
  <c r="H128" i="5"/>
  <c r="BL128" i="5" s="1"/>
  <c r="BL127" i="5"/>
  <c r="BC127" i="5"/>
  <c r="AY127" i="5"/>
  <c r="AU127" i="5"/>
  <c r="AQ127" i="5"/>
  <c r="AM127" i="5"/>
  <c r="AI127" i="5"/>
  <c r="AE127" i="5"/>
  <c r="AA127" i="5"/>
  <c r="K127" i="5"/>
  <c r="I127" i="5"/>
  <c r="J127" i="5" s="1"/>
  <c r="BQ126" i="5"/>
  <c r="BH126" i="5"/>
  <c r="BH234" i="5" s="1"/>
  <c r="BC126" i="5"/>
  <c r="AY126" i="5"/>
  <c r="AU126" i="5"/>
  <c r="AQ126" i="5"/>
  <c r="AM126" i="5"/>
  <c r="AI126" i="5"/>
  <c r="AE126" i="5"/>
  <c r="AA126" i="5"/>
  <c r="K126" i="5"/>
  <c r="I126" i="5"/>
  <c r="BL126" i="5"/>
  <c r="BL125" i="5"/>
  <c r="BH125" i="5"/>
  <c r="BC125" i="5"/>
  <c r="AY125" i="5"/>
  <c r="AU125" i="5"/>
  <c r="AQ125" i="5"/>
  <c r="AM125" i="5"/>
  <c r="AI125" i="5"/>
  <c r="AE125" i="5"/>
  <c r="AA125" i="5"/>
  <c r="W125" i="5"/>
  <c r="K125" i="5"/>
  <c r="I125" i="5"/>
  <c r="J125" i="5" s="1"/>
  <c r="BQ124" i="5"/>
  <c r="BL124" i="5"/>
  <c r="BH124" i="5"/>
  <c r="BC124" i="5"/>
  <c r="AY124" i="5"/>
  <c r="AU124" i="5"/>
  <c r="AQ124" i="5"/>
  <c r="AM124" i="5"/>
  <c r="AI124" i="5"/>
  <c r="AE124" i="5"/>
  <c r="AA124" i="5"/>
  <c r="W124" i="5"/>
  <c r="K124" i="5"/>
  <c r="I124" i="5"/>
  <c r="J124" i="5" s="1"/>
  <c r="BM122" i="5"/>
  <c r="BK122" i="5"/>
  <c r="BJ122" i="5"/>
  <c r="BQ122" i="5" s="1"/>
  <c r="BG122" i="5"/>
  <c r="BF122" i="5"/>
  <c r="BE122" i="5"/>
  <c r="BD122" i="5"/>
  <c r="BB122" i="5"/>
  <c r="BA122" i="5"/>
  <c r="AZ122" i="5"/>
  <c r="AX122" i="5"/>
  <c r="AW122" i="5"/>
  <c r="AV122" i="5"/>
  <c r="AT122" i="5"/>
  <c r="AS122" i="5"/>
  <c r="AR122" i="5"/>
  <c r="AP122" i="5"/>
  <c r="AO122" i="5"/>
  <c r="AN122" i="5"/>
  <c r="AL122" i="5"/>
  <c r="AK122" i="5"/>
  <c r="AJ122" i="5"/>
  <c r="AH122" i="5"/>
  <c r="AG122" i="5"/>
  <c r="AF122" i="5"/>
  <c r="AD122" i="5"/>
  <c r="AC122" i="5"/>
  <c r="AB122" i="5"/>
  <c r="Z122" i="5"/>
  <c r="U122" i="5"/>
  <c r="T122" i="5"/>
  <c r="S122" i="5"/>
  <c r="R122" i="5"/>
  <c r="Q122" i="5"/>
  <c r="P122" i="5"/>
  <c r="O122" i="5"/>
  <c r="N122" i="5"/>
  <c r="M122" i="5"/>
  <c r="L122" i="5"/>
  <c r="H122" i="5"/>
  <c r="BM121" i="5"/>
  <c r="BK121" i="5"/>
  <c r="BJ121" i="5"/>
  <c r="BQ121" i="5" s="1"/>
  <c r="BG121" i="5"/>
  <c r="BF121" i="5"/>
  <c r="BE121" i="5"/>
  <c r="BD121" i="5"/>
  <c r="BB121" i="5"/>
  <c r="BA121" i="5"/>
  <c r="AZ121" i="5"/>
  <c r="AX121" i="5"/>
  <c r="AW121" i="5"/>
  <c r="AV121" i="5"/>
  <c r="AT121" i="5"/>
  <c r="AS121" i="5"/>
  <c r="AR121" i="5"/>
  <c r="AP121" i="5"/>
  <c r="AO121" i="5"/>
  <c r="AN121" i="5"/>
  <c r="AL121" i="5"/>
  <c r="AK121" i="5"/>
  <c r="AJ121" i="5"/>
  <c r="AH121" i="5"/>
  <c r="AG121" i="5"/>
  <c r="AF121" i="5"/>
  <c r="AD121" i="5"/>
  <c r="Z121" i="5"/>
  <c r="U121" i="5"/>
  <c r="T121" i="5"/>
  <c r="R121" i="5"/>
  <c r="Q121" i="5"/>
  <c r="P121" i="5"/>
  <c r="O121" i="5"/>
  <c r="N121" i="5"/>
  <c r="M121" i="5"/>
  <c r="L121" i="5"/>
  <c r="BL120" i="5"/>
  <c r="BH120" i="5"/>
  <c r="BC120" i="5"/>
  <c r="AY120" i="5"/>
  <c r="AU120" i="5"/>
  <c r="AQ120" i="5"/>
  <c r="AM120" i="5"/>
  <c r="AI120" i="5"/>
  <c r="AC120" i="5"/>
  <c r="AE120" i="5" s="1"/>
  <c r="AB120" i="5"/>
  <c r="I120" i="5" s="1"/>
  <c r="J120" i="5" s="1"/>
  <c r="AA120" i="5"/>
  <c r="W120" i="5"/>
  <c r="K120" i="5"/>
  <c r="BQ119" i="5"/>
  <c r="BL119" i="5"/>
  <c r="BH119" i="5"/>
  <c r="BC119" i="5"/>
  <c r="AY119" i="5"/>
  <c r="AU119" i="5"/>
  <c r="AQ119" i="5"/>
  <c r="AM119" i="5"/>
  <c r="AI119" i="5"/>
  <c r="AC119" i="5"/>
  <c r="AE119" i="5" s="1"/>
  <c r="AB119" i="5"/>
  <c r="I119" i="5" s="1"/>
  <c r="J119" i="5" s="1"/>
  <c r="AA119" i="5"/>
  <c r="W119" i="5"/>
  <c r="K119" i="5"/>
  <c r="BQ118" i="5"/>
  <c r="BL118" i="5"/>
  <c r="BH118" i="5"/>
  <c r="BC118" i="5"/>
  <c r="AY118" i="5"/>
  <c r="AU118" i="5"/>
  <c r="AQ118" i="5"/>
  <c r="AM118" i="5"/>
  <c r="AI118" i="5"/>
  <c r="AE118" i="5"/>
  <c r="AA118" i="5"/>
  <c r="W118" i="5"/>
  <c r="K118" i="5"/>
  <c r="I118" i="5"/>
  <c r="J118" i="5" s="1"/>
  <c r="BQ117" i="5"/>
  <c r="BL117" i="5"/>
  <c r="BH117" i="5"/>
  <c r="BC117" i="5"/>
  <c r="AY117" i="5"/>
  <c r="AU117" i="5"/>
  <c r="AQ117" i="5"/>
  <c r="AM117" i="5"/>
  <c r="AI117" i="5"/>
  <c r="AE117" i="5"/>
  <c r="AA117" i="5"/>
  <c r="W117" i="5"/>
  <c r="K117" i="5"/>
  <c r="I117" i="5"/>
  <c r="BQ116" i="5"/>
  <c r="BL116" i="5"/>
  <c r="BH116" i="5"/>
  <c r="BC116" i="5"/>
  <c r="AY116" i="5"/>
  <c r="AU116" i="5"/>
  <c r="AQ116" i="5"/>
  <c r="AM116" i="5"/>
  <c r="AI116" i="5"/>
  <c r="AE116" i="5"/>
  <c r="AA116" i="5"/>
  <c r="W116" i="5"/>
  <c r="S116" i="5"/>
  <c r="K116" i="5"/>
  <c r="I116" i="5"/>
  <c r="J116" i="5" s="1"/>
  <c r="BQ115" i="5"/>
  <c r="BL115" i="5"/>
  <c r="BC115" i="5"/>
  <c r="AY115" i="5"/>
  <c r="AU115" i="5"/>
  <c r="AQ115" i="5"/>
  <c r="AM115" i="5"/>
  <c r="AI115" i="5"/>
  <c r="AE115" i="5"/>
  <c r="AA115" i="5"/>
  <c r="W115" i="5"/>
  <c r="S115" i="5"/>
  <c r="K115" i="5"/>
  <c r="I115" i="5"/>
  <c r="J115" i="5" s="1"/>
  <c r="BQ114" i="5"/>
  <c r="BL114" i="5"/>
  <c r="BH114" i="5"/>
  <c r="BC114" i="5"/>
  <c r="AY114" i="5"/>
  <c r="AU114" i="5"/>
  <c r="AQ114" i="5"/>
  <c r="AM114" i="5"/>
  <c r="AI114" i="5"/>
  <c r="AE114" i="5"/>
  <c r="AA114" i="5"/>
  <c r="W114" i="5"/>
  <c r="S114" i="5"/>
  <c r="K114" i="5"/>
  <c r="I114" i="5"/>
  <c r="J114" i="5" s="1"/>
  <c r="BQ113" i="5"/>
  <c r="BL113" i="5"/>
  <c r="BH113" i="5"/>
  <c r="BC113" i="5"/>
  <c r="AY113" i="5"/>
  <c r="AU113" i="5"/>
  <c r="AQ113" i="5"/>
  <c r="AM113" i="5"/>
  <c r="AI113" i="5"/>
  <c r="AE113" i="5"/>
  <c r="AA113" i="5"/>
  <c r="W113" i="5"/>
  <c r="S113" i="5"/>
  <c r="K113" i="5"/>
  <c r="I113" i="5"/>
  <c r="J113" i="5" s="1"/>
  <c r="BL112" i="5"/>
  <c r="BC112" i="5"/>
  <c r="AY112" i="5"/>
  <c r="AU112" i="5"/>
  <c r="AQ112" i="5"/>
  <c r="AM112" i="5"/>
  <c r="AI112" i="5"/>
  <c r="AE112" i="5"/>
  <c r="AA112" i="5"/>
  <c r="K112" i="5"/>
  <c r="I112" i="5"/>
  <c r="J112" i="5" s="1"/>
  <c r="BL111" i="5"/>
  <c r="BC111" i="5"/>
  <c r="AY111" i="5"/>
  <c r="AU111" i="5"/>
  <c r="AQ111" i="5"/>
  <c r="AM111" i="5"/>
  <c r="AI111" i="5"/>
  <c r="AE111" i="5"/>
  <c r="Y111" i="5"/>
  <c r="AA111" i="5" s="1"/>
  <c r="X111" i="5"/>
  <c r="I111" i="5" s="1"/>
  <c r="J111" i="5" s="1"/>
  <c r="W111" i="5"/>
  <c r="K111" i="5"/>
  <c r="BQ110" i="5"/>
  <c r="BL110" i="5"/>
  <c r="BC110" i="5"/>
  <c r="AY110" i="5"/>
  <c r="AU110" i="5"/>
  <c r="AQ110" i="5"/>
  <c r="AM110" i="5"/>
  <c r="AI110" i="5"/>
  <c r="AE110" i="5"/>
  <c r="AA110" i="5"/>
  <c r="W110" i="5"/>
  <c r="K110" i="5"/>
  <c r="I110" i="5"/>
  <c r="J110" i="5" s="1"/>
  <c r="BQ109" i="5"/>
  <c r="BH109" i="5"/>
  <c r="BC109" i="5"/>
  <c r="AY109" i="5"/>
  <c r="AU109" i="5"/>
  <c r="AQ109" i="5"/>
  <c r="AM109" i="5"/>
  <c r="AI109" i="5"/>
  <c r="AE109" i="5"/>
  <c r="Y109" i="5"/>
  <c r="AA109" i="5" s="1"/>
  <c r="X109" i="5"/>
  <c r="I109" i="5" s="1"/>
  <c r="W109" i="5"/>
  <c r="K109" i="5"/>
  <c r="H109" i="5"/>
  <c r="BL109" i="5" s="1"/>
  <c r="BQ108" i="5"/>
  <c r="BH108" i="5"/>
  <c r="BC108" i="5"/>
  <c r="AY108" i="5"/>
  <c r="AU108" i="5"/>
  <c r="AQ108" i="5"/>
  <c r="AM108" i="5"/>
  <c r="AI108" i="5"/>
  <c r="AE108" i="5"/>
  <c r="AA108" i="5"/>
  <c r="W108" i="5"/>
  <c r="K108" i="5"/>
  <c r="I108" i="5"/>
  <c r="H108" i="5"/>
  <c r="BL108" i="5" s="1"/>
  <c r="BQ107" i="5"/>
  <c r="BL107" i="5"/>
  <c r="BH107" i="5"/>
  <c r="BC107" i="5"/>
  <c r="AY107" i="5"/>
  <c r="AU107" i="5"/>
  <c r="AQ107" i="5"/>
  <c r="AM107" i="5"/>
  <c r="AI107" i="5"/>
  <c r="AE107" i="5"/>
  <c r="AA107" i="5"/>
  <c r="W107" i="5"/>
  <c r="K107" i="5"/>
  <c r="I107" i="5"/>
  <c r="J107" i="5" s="1"/>
  <c r="BQ106" i="5"/>
  <c r="BL106" i="5"/>
  <c r="BH106" i="5"/>
  <c r="BC106" i="5"/>
  <c r="AY106" i="5"/>
  <c r="AU106" i="5"/>
  <c r="AQ106" i="5"/>
  <c r="AM106" i="5"/>
  <c r="AI106" i="5"/>
  <c r="AE106" i="5"/>
  <c r="AA106" i="5"/>
  <c r="W106" i="5"/>
  <c r="K106" i="5"/>
  <c r="I106" i="5"/>
  <c r="J106" i="5" s="1"/>
  <c r="BQ105" i="5"/>
  <c r="BH105" i="5"/>
  <c r="BC105" i="5"/>
  <c r="AY105" i="5"/>
  <c r="AU105" i="5"/>
  <c r="AQ105" i="5"/>
  <c r="AM105" i="5"/>
  <c r="AI105" i="5"/>
  <c r="AA105" i="5"/>
  <c r="W105" i="5"/>
  <c r="AE105" i="5" s="1"/>
  <c r="K105" i="5"/>
  <c r="I105" i="5"/>
  <c r="H105" i="5"/>
  <c r="BL105" i="5" s="1"/>
  <c r="BQ104" i="5"/>
  <c r="BL104" i="5"/>
  <c r="BH104" i="5"/>
  <c r="BC104" i="5"/>
  <c r="AY104" i="5"/>
  <c r="AU104" i="5"/>
  <c r="AQ104" i="5"/>
  <c r="AM104" i="5"/>
  <c r="AI104" i="5"/>
  <c r="AC104" i="5"/>
  <c r="AE104" i="5" s="1"/>
  <c r="AB104" i="5"/>
  <c r="I104" i="5" s="1"/>
  <c r="J104" i="5" s="1"/>
  <c r="AA104" i="5"/>
  <c r="W104" i="5"/>
  <c r="K104" i="5"/>
  <c r="BK103" i="5"/>
  <c r="BJ103" i="5"/>
  <c r="BQ103" i="5" s="1"/>
  <c r="BG103" i="5"/>
  <c r="BF103" i="5"/>
  <c r="BE103" i="5"/>
  <c r="BD103" i="5"/>
  <c r="BB103" i="5"/>
  <c r="BA103" i="5"/>
  <c r="AZ103" i="5"/>
  <c r="AX103" i="5"/>
  <c r="AW103" i="5"/>
  <c r="AV103" i="5"/>
  <c r="AT103" i="5"/>
  <c r="AS103" i="5"/>
  <c r="AR103" i="5"/>
  <c r="AP103" i="5"/>
  <c r="AO103" i="5"/>
  <c r="AN103" i="5"/>
  <c r="AL103" i="5"/>
  <c r="AK103" i="5"/>
  <c r="AJ103" i="5"/>
  <c r="AH103" i="5"/>
  <c r="AG103" i="5"/>
  <c r="AF103" i="5"/>
  <c r="AD103" i="5"/>
  <c r="Z103" i="5"/>
  <c r="Y103" i="5"/>
  <c r="X103" i="5"/>
  <c r="V103" i="5"/>
  <c r="U103" i="5"/>
  <c r="T103" i="5"/>
  <c r="S103" i="5"/>
  <c r="R103" i="5"/>
  <c r="Q103" i="5"/>
  <c r="P103" i="5"/>
  <c r="O103" i="5"/>
  <c r="N103" i="5"/>
  <c r="M103" i="5"/>
  <c r="L103" i="5"/>
  <c r="H103" i="5"/>
  <c r="BL102" i="5"/>
  <c r="BK102" i="5"/>
  <c r="BJ102" i="5"/>
  <c r="BQ102" i="5" s="1"/>
  <c r="BH102" i="5"/>
  <c r="BG102" i="5"/>
  <c r="BF102" i="5"/>
  <c r="BE102" i="5"/>
  <c r="BD102" i="5"/>
  <c r="BC102" i="5"/>
  <c r="BB102" i="5"/>
  <c r="BA102" i="5"/>
  <c r="AZ102" i="5"/>
  <c r="AY102" i="5"/>
  <c r="AX102" i="5"/>
  <c r="AW102" i="5"/>
  <c r="AV102" i="5"/>
  <c r="AU102" i="5"/>
  <c r="AT102" i="5"/>
  <c r="AS102" i="5"/>
  <c r="AR102" i="5"/>
  <c r="AQ102" i="5"/>
  <c r="AP102" i="5"/>
  <c r="AO102" i="5"/>
  <c r="AN102" i="5"/>
  <c r="AM102" i="5"/>
  <c r="AL102" i="5"/>
  <c r="AK102" i="5"/>
  <c r="AJ102" i="5"/>
  <c r="AI102" i="5"/>
  <c r="AH102" i="5"/>
  <c r="AG102" i="5"/>
  <c r="AF102" i="5"/>
  <c r="AE102" i="5"/>
  <c r="AD102" i="5"/>
  <c r="AC102" i="5"/>
  <c r="AB102" i="5"/>
  <c r="AA102" i="5"/>
  <c r="Z102" i="5"/>
  <c r="Y102" i="5"/>
  <c r="X102" i="5"/>
  <c r="W102" i="5"/>
  <c r="V102" i="5"/>
  <c r="U102" i="5"/>
  <c r="T102" i="5"/>
  <c r="S102" i="5"/>
  <c r="R102" i="5"/>
  <c r="Q102" i="5"/>
  <c r="P102" i="5"/>
  <c r="O102" i="5"/>
  <c r="N102" i="5"/>
  <c r="M102" i="5"/>
  <c r="L102" i="5"/>
  <c r="K102" i="5"/>
  <c r="J102" i="5"/>
  <c r="I102" i="5"/>
  <c r="H102" i="5"/>
  <c r="BK101" i="5"/>
  <c r="BJ101" i="5"/>
  <c r="BQ101" i="5" s="1"/>
  <c r="BG101" i="5"/>
  <c r="BF101" i="5"/>
  <c r="BE101" i="5"/>
  <c r="BD101" i="5"/>
  <c r="BB101" i="5"/>
  <c r="BA101" i="5"/>
  <c r="AZ101" i="5"/>
  <c r="AX101" i="5"/>
  <c r="AW101" i="5"/>
  <c r="AV101" i="5"/>
  <c r="AT101" i="5"/>
  <c r="AS101" i="5"/>
  <c r="AR101" i="5"/>
  <c r="AP101" i="5"/>
  <c r="AO101" i="5"/>
  <c r="AN101" i="5"/>
  <c r="AL101" i="5"/>
  <c r="AK101" i="5"/>
  <c r="AJ101" i="5"/>
  <c r="AH101" i="5"/>
  <c r="AG101" i="5"/>
  <c r="AF101" i="5"/>
  <c r="AD101" i="5"/>
  <c r="AC101" i="5"/>
  <c r="AB101" i="5"/>
  <c r="Z101" i="5"/>
  <c r="Y101" i="5"/>
  <c r="V101" i="5"/>
  <c r="U101" i="5"/>
  <c r="T101" i="5"/>
  <c r="R101" i="5"/>
  <c r="Q101" i="5"/>
  <c r="P101" i="5"/>
  <c r="O101" i="5"/>
  <c r="N101" i="5"/>
  <c r="M101" i="5"/>
  <c r="L101" i="5"/>
  <c r="BL100" i="5"/>
  <c r="AM100" i="5"/>
  <c r="AI100" i="5"/>
  <c r="AE100" i="5"/>
  <c r="AA100" i="5"/>
  <c r="K100" i="5"/>
  <c r="I100" i="5"/>
  <c r="J100" i="5" s="1"/>
  <c r="BL99" i="5"/>
  <c r="AM99" i="5"/>
  <c r="AI99" i="5"/>
  <c r="AE99" i="5"/>
  <c r="AA99" i="5"/>
  <c r="K99" i="5"/>
  <c r="I99" i="5"/>
  <c r="J99" i="5" s="1"/>
  <c r="BL97" i="5"/>
  <c r="AM97" i="5"/>
  <c r="AI97" i="5"/>
  <c r="AE97" i="5"/>
  <c r="AA97" i="5"/>
  <c r="K97" i="5"/>
  <c r="I97" i="5"/>
  <c r="J97" i="5" s="1"/>
  <c r="BL96" i="5"/>
  <c r="AM96" i="5"/>
  <c r="AI96" i="5"/>
  <c r="AE96" i="5"/>
  <c r="AA96" i="5"/>
  <c r="K96" i="5"/>
  <c r="I96" i="5"/>
  <c r="J96" i="5" s="1"/>
  <c r="BL95" i="5"/>
  <c r="AM95" i="5"/>
  <c r="AI95" i="5"/>
  <c r="AE95" i="5"/>
  <c r="AA95" i="5"/>
  <c r="K95" i="5"/>
  <c r="I95" i="5"/>
  <c r="J95" i="5" s="1"/>
  <c r="BL93" i="5"/>
  <c r="AM93" i="5"/>
  <c r="AI93" i="5"/>
  <c r="AE93" i="5"/>
  <c r="AA93" i="5"/>
  <c r="K93" i="5"/>
  <c r="I93" i="5"/>
  <c r="J93" i="5" s="1"/>
  <c r="BQ92" i="5"/>
  <c r="BL92" i="5"/>
  <c r="BH92" i="5"/>
  <c r="BC92" i="5"/>
  <c r="AQ92" i="5"/>
  <c r="AM92" i="5"/>
  <c r="AI92" i="5"/>
  <c r="AE92" i="5"/>
  <c r="AA92" i="5"/>
  <c r="K92" i="5"/>
  <c r="I92" i="5"/>
  <c r="J92" i="5" s="1"/>
  <c r="BL91" i="5"/>
  <c r="BH91" i="5"/>
  <c r="AM91" i="5"/>
  <c r="AI91" i="5"/>
  <c r="AE91" i="5"/>
  <c r="AA91" i="5"/>
  <c r="W91" i="5"/>
  <c r="K91" i="5"/>
  <c r="I91" i="5"/>
  <c r="J91" i="5" s="1"/>
  <c r="BL90" i="5"/>
  <c r="BH90" i="5"/>
  <c r="AM90" i="5"/>
  <c r="AI90" i="5"/>
  <c r="AE90" i="5"/>
  <c r="AA90" i="5"/>
  <c r="W90" i="5"/>
  <c r="K90" i="5"/>
  <c r="I90" i="5"/>
  <c r="J90" i="5" s="1"/>
  <c r="BQ89" i="5"/>
  <c r="BH89" i="5"/>
  <c r="BC89" i="5"/>
  <c r="AY89" i="5"/>
  <c r="AQ89" i="5"/>
  <c r="AM89" i="5"/>
  <c r="AI89" i="5"/>
  <c r="AE89" i="5"/>
  <c r="AA89" i="5"/>
  <c r="W89" i="5"/>
  <c r="K89" i="5"/>
  <c r="I89" i="5"/>
  <c r="BL89" i="5"/>
  <c r="BL88" i="5"/>
  <c r="BH88" i="5"/>
  <c r="BC88" i="5"/>
  <c r="AY88" i="5"/>
  <c r="AU88" i="5"/>
  <c r="AQ88" i="5"/>
  <c r="AM88" i="5"/>
  <c r="AI88" i="5"/>
  <c r="AE88" i="5"/>
  <c r="AA88" i="5"/>
  <c r="W88" i="5"/>
  <c r="K88" i="5"/>
  <c r="I88" i="5"/>
  <c r="J88" i="5" s="1"/>
  <c r="BL87" i="5"/>
  <c r="BH87" i="5"/>
  <c r="BC87" i="5"/>
  <c r="AY87" i="5"/>
  <c r="AU87" i="5"/>
  <c r="AQ87" i="5"/>
  <c r="AM87" i="5"/>
  <c r="AI87" i="5"/>
  <c r="AE87" i="5"/>
  <c r="AA87" i="5"/>
  <c r="W87" i="5"/>
  <c r="K87" i="5"/>
  <c r="I87" i="5"/>
  <c r="J87" i="5" s="1"/>
  <c r="BL86" i="5"/>
  <c r="BH86" i="5"/>
  <c r="BC86" i="5"/>
  <c r="AY86" i="5"/>
  <c r="AY82" i="5" s="1"/>
  <c r="AU86" i="5"/>
  <c r="AQ86" i="5"/>
  <c r="AM86" i="5"/>
  <c r="AE86" i="5"/>
  <c r="AA86" i="5"/>
  <c r="W86" i="5"/>
  <c r="K86" i="5"/>
  <c r="K82" i="5" s="1"/>
  <c r="U12" i="6" s="1"/>
  <c r="I86" i="5"/>
  <c r="J86" i="5" s="1"/>
  <c r="BL85" i="5"/>
  <c r="BC85" i="5"/>
  <c r="AY85" i="5"/>
  <c r="AU85" i="5"/>
  <c r="AQ85" i="5"/>
  <c r="AM85" i="5"/>
  <c r="AI85" i="5"/>
  <c r="AE85" i="5"/>
  <c r="AA85" i="5"/>
  <c r="W85" i="5"/>
  <c r="K85" i="5"/>
  <c r="I85" i="5"/>
  <c r="J85" i="5" s="1"/>
  <c r="BL84" i="5"/>
  <c r="BC84" i="5"/>
  <c r="AY84" i="5"/>
  <c r="AY80" i="5" s="1"/>
  <c r="AU84" i="5"/>
  <c r="AQ84" i="5"/>
  <c r="AM84" i="5"/>
  <c r="AE84" i="5"/>
  <c r="AA84" i="5"/>
  <c r="W84" i="5"/>
  <c r="K84" i="5"/>
  <c r="K80" i="5" s="1"/>
  <c r="I84" i="5"/>
  <c r="J84" i="5" s="1"/>
  <c r="J80" i="5" s="1"/>
  <c r="BL83" i="5"/>
  <c r="BC83" i="5"/>
  <c r="AY83" i="5"/>
  <c r="AU83" i="5"/>
  <c r="AQ83" i="5"/>
  <c r="AM83" i="5"/>
  <c r="AI83" i="5"/>
  <c r="AE83" i="5"/>
  <c r="AA83" i="5"/>
  <c r="W83" i="5"/>
  <c r="K83" i="5"/>
  <c r="I83" i="5"/>
  <c r="J83" i="5" s="1"/>
  <c r="BD82" i="5"/>
  <c r="BC82" i="5"/>
  <c r="AX82" i="5"/>
  <c r="AW82" i="5"/>
  <c r="AU82" i="5"/>
  <c r="AQ82" i="5"/>
  <c r="AN82" i="5"/>
  <c r="AK82" i="5"/>
  <c r="AJ82" i="5"/>
  <c r="AD82" i="5"/>
  <c r="AC82" i="5"/>
  <c r="AB82" i="5"/>
  <c r="Z82" i="5"/>
  <c r="Z19" i="5" s="1"/>
  <c r="Y82" i="5"/>
  <c r="X82" i="5"/>
  <c r="V82" i="5"/>
  <c r="U82" i="5"/>
  <c r="T82" i="5"/>
  <c r="H82" i="5"/>
  <c r="BL82" i="5" s="1"/>
  <c r="BD81" i="5"/>
  <c r="BC81" i="5"/>
  <c r="AX81" i="5"/>
  <c r="AW81" i="5"/>
  <c r="AV81" i="5"/>
  <c r="AV19" i="5" s="1"/>
  <c r="AU81" i="5"/>
  <c r="AQ81" i="5"/>
  <c r="AN81" i="5"/>
  <c r="AK81" i="5"/>
  <c r="AM81" i="5" s="1"/>
  <c r="AJ81" i="5"/>
  <c r="AI81" i="5"/>
  <c r="AD81" i="5"/>
  <c r="AC81" i="5"/>
  <c r="AB81" i="5"/>
  <c r="Z81" i="5"/>
  <c r="Y81" i="5"/>
  <c r="X81" i="5"/>
  <c r="V81" i="5"/>
  <c r="U81" i="5"/>
  <c r="T81" i="5"/>
  <c r="H81" i="5"/>
  <c r="BL81" i="5" s="1"/>
  <c r="BD80" i="5"/>
  <c r="BC80" i="5"/>
  <c r="AX80" i="5"/>
  <c r="AW80" i="5"/>
  <c r="AU80" i="5"/>
  <c r="AQ80" i="5"/>
  <c r="AN80" i="5"/>
  <c r="AK80" i="5"/>
  <c r="AM80" i="5" s="1"/>
  <c r="AJ80" i="5"/>
  <c r="AD80" i="5"/>
  <c r="AC80" i="5"/>
  <c r="AB80" i="5"/>
  <c r="Z80" i="5"/>
  <c r="Y80" i="5"/>
  <c r="X80" i="5"/>
  <c r="V80" i="5"/>
  <c r="U80" i="5"/>
  <c r="T80" i="5"/>
  <c r="H80" i="5"/>
  <c r="BL80" i="5" s="1"/>
  <c r="BQ79" i="5"/>
  <c r="BD79" i="5"/>
  <c r="BC79" i="5"/>
  <c r="AX79" i="5"/>
  <c r="AW79" i="5"/>
  <c r="AV79" i="5"/>
  <c r="AU79" i="5"/>
  <c r="AQ79" i="5"/>
  <c r="AN79" i="5"/>
  <c r="AK79" i="5"/>
  <c r="AJ79" i="5"/>
  <c r="AI79" i="5"/>
  <c r="AD79" i="5"/>
  <c r="AC79" i="5"/>
  <c r="AB79" i="5"/>
  <c r="Z79" i="5"/>
  <c r="Y79" i="5"/>
  <c r="X79" i="5"/>
  <c r="V79" i="5"/>
  <c r="V18" i="5" s="1"/>
  <c r="U79" i="5"/>
  <c r="T79" i="5"/>
  <c r="H79" i="5"/>
  <c r="BL79" i="5" s="1"/>
  <c r="BC78" i="5"/>
  <c r="AY78" i="5"/>
  <c r="AQ78" i="5"/>
  <c r="AM78" i="5"/>
  <c r="AI78" i="5"/>
  <c r="AE78" i="5"/>
  <c r="Y78" i="5"/>
  <c r="AA78" i="5" s="1"/>
  <c r="AU78" i="5" s="1"/>
  <c r="X78" i="5"/>
  <c r="I78" i="5" s="1"/>
  <c r="W78" i="5"/>
  <c r="K78" i="5"/>
  <c r="H78" i="5"/>
  <c r="BL78" i="5" s="1"/>
  <c r="BQ77" i="5"/>
  <c r="BH77" i="5"/>
  <c r="BC77" i="5"/>
  <c r="AY77" i="5"/>
  <c r="AQ77" i="5"/>
  <c r="AM77" i="5"/>
  <c r="AI77" i="5"/>
  <c r="AE77" i="5"/>
  <c r="Y77" i="5"/>
  <c r="AA77" i="5" s="1"/>
  <c r="AU77" i="5" s="1"/>
  <c r="X77" i="5"/>
  <c r="I77" i="5" s="1"/>
  <c r="W77" i="5"/>
  <c r="S77" i="5"/>
  <c r="S19" i="5" s="1"/>
  <c r="K77" i="5"/>
  <c r="H77" i="5"/>
  <c r="BL77" i="5" s="1"/>
  <c r="BC76" i="5"/>
  <c r="AY76" i="5"/>
  <c r="AQ76" i="5"/>
  <c r="AM76" i="5"/>
  <c r="AI76" i="5"/>
  <c r="AE76" i="5"/>
  <c r="Y76" i="5"/>
  <c r="AA76" i="5" s="1"/>
  <c r="AU76" i="5" s="1"/>
  <c r="X76" i="5"/>
  <c r="I76" i="5" s="1"/>
  <c r="W76" i="5"/>
  <c r="K76" i="5"/>
  <c r="H76" i="5"/>
  <c r="BL76" i="5" s="1"/>
  <c r="BQ75" i="5"/>
  <c r="BH75" i="5"/>
  <c r="BC75" i="5"/>
  <c r="AY75" i="5"/>
  <c r="AQ75" i="5"/>
  <c r="AM75" i="5"/>
  <c r="AI75" i="5"/>
  <c r="AE75" i="5"/>
  <c r="Y75" i="5"/>
  <c r="AA75" i="5" s="1"/>
  <c r="AU75" i="5" s="1"/>
  <c r="X75" i="5"/>
  <c r="I75" i="5" s="1"/>
  <c r="W75" i="5"/>
  <c r="S75" i="5"/>
  <c r="K75" i="5"/>
  <c r="H75" i="5"/>
  <c r="BL75" i="5" s="1"/>
  <c r="BQ74" i="5"/>
  <c r="BL74" i="5"/>
  <c r="BC74" i="5"/>
  <c r="AY74" i="5"/>
  <c r="AU74" i="5"/>
  <c r="AQ74" i="5"/>
  <c r="AM74" i="5"/>
  <c r="AI74" i="5"/>
  <c r="AE74" i="5"/>
  <c r="Y74" i="5"/>
  <c r="AA74" i="5" s="1"/>
  <c r="X74" i="5"/>
  <c r="I74" i="5" s="1"/>
  <c r="J74" i="5" s="1"/>
  <c r="W74" i="5"/>
  <c r="K74" i="5"/>
  <c r="C11" i="7" s="1"/>
  <c r="D11" i="7" s="1"/>
  <c r="BQ73" i="5"/>
  <c r="BC73" i="5"/>
  <c r="AY73" i="5"/>
  <c r="AU73" i="5"/>
  <c r="AQ73" i="5"/>
  <c r="AM73" i="5"/>
  <c r="AI73" i="5"/>
  <c r="AE73" i="5"/>
  <c r="Y73" i="5"/>
  <c r="AA73" i="5" s="1"/>
  <c r="X73" i="5"/>
  <c r="I73" i="5" s="1"/>
  <c r="W73" i="5"/>
  <c r="K73" i="5"/>
  <c r="L12" i="17" s="1"/>
  <c r="H73" i="5"/>
  <c r="BL73" i="5" s="1"/>
  <c r="BC72" i="5"/>
  <c r="AY72" i="5"/>
  <c r="AU72" i="5"/>
  <c r="AQ72" i="5"/>
  <c r="AM72" i="5"/>
  <c r="AI72" i="5"/>
  <c r="AE72" i="5"/>
  <c r="Y72" i="5"/>
  <c r="AA72" i="5" s="1"/>
  <c r="X72" i="5"/>
  <c r="I72" i="5" s="1"/>
  <c r="W72" i="5"/>
  <c r="K72" i="5"/>
  <c r="H72" i="5"/>
  <c r="BL72" i="5" s="1"/>
  <c r="BQ71" i="5"/>
  <c r="BH71" i="5"/>
  <c r="BC71" i="5"/>
  <c r="AY71" i="5"/>
  <c r="AU71" i="5"/>
  <c r="AQ71" i="5"/>
  <c r="AM71" i="5"/>
  <c r="AI71" i="5"/>
  <c r="AE71" i="5"/>
  <c r="Y71" i="5"/>
  <c r="AA71" i="5" s="1"/>
  <c r="X71" i="5"/>
  <c r="I71" i="5" s="1"/>
  <c r="W71" i="5"/>
  <c r="K71" i="5"/>
  <c r="H71" i="5"/>
  <c r="BL71" i="5" s="1"/>
  <c r="BC70" i="5"/>
  <c r="AY70" i="5"/>
  <c r="AU70" i="5"/>
  <c r="AQ70" i="5"/>
  <c r="AM70" i="5"/>
  <c r="AI70" i="5"/>
  <c r="AE70" i="5"/>
  <c r="Y70" i="5"/>
  <c r="AA70" i="5" s="1"/>
  <c r="X70" i="5"/>
  <c r="I70" i="5" s="1"/>
  <c r="W70" i="5"/>
  <c r="K70" i="5"/>
  <c r="H70" i="5"/>
  <c r="BL70" i="5" s="1"/>
  <c r="BQ69" i="5"/>
  <c r="BH69" i="5"/>
  <c r="BC69" i="5"/>
  <c r="AY69" i="5"/>
  <c r="AU69" i="5"/>
  <c r="AQ69" i="5"/>
  <c r="AM69" i="5"/>
  <c r="AI69" i="5"/>
  <c r="AE69" i="5"/>
  <c r="Y69" i="5"/>
  <c r="AA69" i="5" s="1"/>
  <c r="X69" i="5"/>
  <c r="I69" i="5" s="1"/>
  <c r="W69" i="5"/>
  <c r="K69" i="5"/>
  <c r="H69" i="5"/>
  <c r="BL69" i="5" s="1"/>
  <c r="BL68" i="5"/>
  <c r="BC68" i="5"/>
  <c r="AY68" i="5"/>
  <c r="AU68" i="5"/>
  <c r="AQ68" i="5"/>
  <c r="AM68" i="5"/>
  <c r="AI68" i="5"/>
  <c r="AE68" i="5"/>
  <c r="AA68" i="5"/>
  <c r="W68" i="5"/>
  <c r="K68" i="5"/>
  <c r="I68" i="5"/>
  <c r="J68" i="5" s="1"/>
  <c r="BQ67" i="5"/>
  <c r="BL67" i="5"/>
  <c r="BC67" i="5"/>
  <c r="AY67" i="5"/>
  <c r="AU67" i="5"/>
  <c r="AQ67" i="5"/>
  <c r="AM67" i="5"/>
  <c r="AI67" i="5"/>
  <c r="AE67" i="5"/>
  <c r="AA67" i="5"/>
  <c r="W67" i="5"/>
  <c r="K67" i="5"/>
  <c r="I67" i="5"/>
  <c r="J67" i="5" s="1"/>
  <c r="BL66" i="5"/>
  <c r="BC66" i="5"/>
  <c r="AY66" i="5"/>
  <c r="AU66" i="5"/>
  <c r="AQ66" i="5"/>
  <c r="AI66" i="5"/>
  <c r="AE66" i="5"/>
  <c r="AA66" i="5"/>
  <c r="W66" i="5"/>
  <c r="K66" i="5"/>
  <c r="I66" i="5"/>
  <c r="J66" i="5" s="1"/>
  <c r="BQ65" i="5"/>
  <c r="BL65" i="5"/>
  <c r="BC65" i="5"/>
  <c r="AY65" i="5"/>
  <c r="AU65" i="5"/>
  <c r="AQ65" i="5"/>
  <c r="AI65" i="5"/>
  <c r="AE65" i="5"/>
  <c r="AA65" i="5"/>
  <c r="W65" i="5"/>
  <c r="K65" i="5"/>
  <c r="I65" i="5"/>
  <c r="J65" i="5" s="1"/>
  <c r="BL64" i="5"/>
  <c r="AI64" i="5"/>
  <c r="AA64" i="5"/>
  <c r="I64" i="5"/>
  <c r="J64" i="5" s="1"/>
  <c r="BL63" i="5"/>
  <c r="AI63" i="5"/>
  <c r="AA63" i="5"/>
  <c r="I63" i="5"/>
  <c r="J63" i="5" s="1"/>
  <c r="BC62" i="5"/>
  <c r="AY62" i="5"/>
  <c r="AU62" i="5"/>
  <c r="AQ62" i="5"/>
  <c r="AM62" i="5"/>
  <c r="AI62" i="5"/>
  <c r="AE62" i="5"/>
  <c r="Y62" i="5"/>
  <c r="AA62" i="5" s="1"/>
  <c r="X62" i="5"/>
  <c r="I62" i="5" s="1"/>
  <c r="W62" i="5"/>
  <c r="K62" i="5"/>
  <c r="H62" i="5"/>
  <c r="BL62" i="5" s="1"/>
  <c r="BC61" i="5"/>
  <c r="AY61" i="5"/>
  <c r="AU61" i="5"/>
  <c r="AQ61" i="5"/>
  <c r="AM61" i="5"/>
  <c r="AI61" i="5"/>
  <c r="AE61" i="5"/>
  <c r="Y61" i="5"/>
  <c r="AA61" i="5" s="1"/>
  <c r="X61" i="5"/>
  <c r="I61" i="5" s="1"/>
  <c r="W61" i="5"/>
  <c r="K61" i="5"/>
  <c r="H61" i="5"/>
  <c r="BL61" i="5" s="1"/>
  <c r="BC60" i="5"/>
  <c r="AY60" i="5"/>
  <c r="AU60" i="5"/>
  <c r="AQ60" i="5"/>
  <c r="AM60" i="5"/>
  <c r="AI60" i="5"/>
  <c r="AE60" i="5"/>
  <c r="Y60" i="5"/>
  <c r="AA60" i="5" s="1"/>
  <c r="X60" i="5"/>
  <c r="I60" i="5" s="1"/>
  <c r="W60" i="5"/>
  <c r="K60" i="5"/>
  <c r="H60" i="5"/>
  <c r="BL60" i="5" s="1"/>
  <c r="BQ59" i="5"/>
  <c r="BC59" i="5"/>
  <c r="AY59" i="5"/>
  <c r="AU59" i="5"/>
  <c r="AQ59" i="5"/>
  <c r="AM59" i="5"/>
  <c r="AI59" i="5"/>
  <c r="AE59" i="5"/>
  <c r="Y59" i="5"/>
  <c r="AA59" i="5" s="1"/>
  <c r="X59" i="5"/>
  <c r="I59" i="5" s="1"/>
  <c r="W59" i="5"/>
  <c r="K59" i="5"/>
  <c r="H59" i="5"/>
  <c r="BL59" i="5" s="1"/>
  <c r="BH58" i="5"/>
  <c r="BC58" i="5"/>
  <c r="AY58" i="5"/>
  <c r="AQ58" i="5"/>
  <c r="AI58" i="5"/>
  <c r="Y58" i="5"/>
  <c r="AA58" i="5" s="1"/>
  <c r="X58" i="5"/>
  <c r="I58" i="5" s="1"/>
  <c r="J58" i="5" s="1"/>
  <c r="K58" i="5"/>
  <c r="H58" i="5"/>
  <c r="BL58" i="5" s="1"/>
  <c r="BH57" i="5"/>
  <c r="BC57" i="5"/>
  <c r="AY57" i="5"/>
  <c r="AQ57" i="5"/>
  <c r="AI57" i="5"/>
  <c r="Y57" i="5"/>
  <c r="AA57" i="5" s="1"/>
  <c r="X57" i="5"/>
  <c r="K57" i="5"/>
  <c r="H57" i="5"/>
  <c r="BL57" i="5" s="1"/>
  <c r="BH56" i="5"/>
  <c r="BC56" i="5"/>
  <c r="AY56" i="5"/>
  <c r="AQ56" i="5"/>
  <c r="AI56" i="5"/>
  <c r="Y56" i="5"/>
  <c r="AA56" i="5" s="1"/>
  <c r="X56" i="5"/>
  <c r="I56" i="5" s="1"/>
  <c r="K56" i="5"/>
  <c r="H56" i="5"/>
  <c r="BL56" i="5" s="1"/>
  <c r="BH55" i="5"/>
  <c r="BC55" i="5"/>
  <c r="AY55" i="5"/>
  <c r="AQ55" i="5"/>
  <c r="AI55" i="5"/>
  <c r="Y55" i="5"/>
  <c r="AA55" i="5" s="1"/>
  <c r="X55" i="5"/>
  <c r="I55" i="5" s="1"/>
  <c r="K55" i="5"/>
  <c r="H55" i="5"/>
  <c r="BL55" i="5" s="1"/>
  <c r="BL54" i="5"/>
  <c r="BC54" i="5"/>
  <c r="AY54" i="5"/>
  <c r="AU54" i="5"/>
  <c r="AM54" i="5"/>
  <c r="AI54" i="5"/>
  <c r="AE54" i="5"/>
  <c r="AA54" i="5"/>
  <c r="W54" i="5"/>
  <c r="K54" i="5"/>
  <c r="I54" i="5"/>
  <c r="J54" i="5" s="1"/>
  <c r="BQ53" i="5"/>
  <c r="BC53" i="5"/>
  <c r="AY53" i="5"/>
  <c r="AU53" i="5"/>
  <c r="AQ53" i="5"/>
  <c r="AM53" i="5"/>
  <c r="AI53" i="5"/>
  <c r="AE53" i="5"/>
  <c r="AA53" i="5"/>
  <c r="W53" i="5"/>
  <c r="K53" i="5"/>
  <c r="I53" i="5"/>
  <c r="H53" i="5"/>
  <c r="BL53" i="5" s="1"/>
  <c r="BQ52" i="5"/>
  <c r="BH52" i="5"/>
  <c r="AY52" i="5"/>
  <c r="AU52" i="5"/>
  <c r="AQ52" i="5"/>
  <c r="AM52" i="5"/>
  <c r="AI52" i="5"/>
  <c r="AE52" i="5"/>
  <c r="AA52" i="5"/>
  <c r="W52" i="5"/>
  <c r="K52" i="5"/>
  <c r="I52" i="5"/>
  <c r="H52" i="5"/>
  <c r="BL52" i="5" s="1"/>
  <c r="BQ51" i="5"/>
  <c r="BL51" i="5"/>
  <c r="BH51" i="5"/>
  <c r="AY51" i="5"/>
  <c r="AU51" i="5"/>
  <c r="AQ51" i="5"/>
  <c r="AM51" i="5"/>
  <c r="AI51" i="5"/>
  <c r="AE51" i="5"/>
  <c r="AA51" i="5"/>
  <c r="W51" i="5"/>
  <c r="K51" i="5"/>
  <c r="I51" i="5"/>
  <c r="J51" i="5" s="1"/>
  <c r="BL50" i="5"/>
  <c r="BH50" i="5"/>
  <c r="AY50" i="5"/>
  <c r="AU50" i="5"/>
  <c r="AQ50" i="5"/>
  <c r="AM50" i="5"/>
  <c r="AI50" i="5"/>
  <c r="AE50" i="5"/>
  <c r="AA50" i="5"/>
  <c r="W50" i="5"/>
  <c r="K50" i="5"/>
  <c r="I50" i="5"/>
  <c r="J50" i="5" s="1"/>
  <c r="BL49" i="5"/>
  <c r="BH49" i="5"/>
  <c r="AY49" i="5"/>
  <c r="AU49" i="5"/>
  <c r="AQ49" i="5"/>
  <c r="AM49" i="5"/>
  <c r="AI49" i="5"/>
  <c r="AA49" i="5"/>
  <c r="K49" i="5"/>
  <c r="K47" i="5" s="1"/>
  <c r="I49" i="5"/>
  <c r="J49" i="5" s="1"/>
  <c r="J47" i="5" s="1"/>
  <c r="BL48" i="5"/>
  <c r="BH48" i="5"/>
  <c r="AY48" i="5"/>
  <c r="AQ48" i="5"/>
  <c r="AI48" i="5"/>
  <c r="AE48" i="5"/>
  <c r="AA48" i="5"/>
  <c r="W48" i="5"/>
  <c r="K48" i="5"/>
  <c r="I48" i="5"/>
  <c r="BD47" i="5"/>
  <c r="AZ47" i="5"/>
  <c r="AV47" i="5"/>
  <c r="AR47" i="5"/>
  <c r="AN47" i="5"/>
  <c r="AJ47" i="5"/>
  <c r="AH47" i="5"/>
  <c r="AG47" i="5"/>
  <c r="AF47" i="5"/>
  <c r="AB47" i="5"/>
  <c r="Z47" i="5"/>
  <c r="Y47" i="5"/>
  <c r="X47" i="5"/>
  <c r="T47" i="5"/>
  <c r="P47" i="5"/>
  <c r="O47" i="5"/>
  <c r="N47" i="5"/>
  <c r="M47" i="5"/>
  <c r="L47" i="5"/>
  <c r="H47" i="5"/>
  <c r="BQ46" i="5"/>
  <c r="BH46" i="5"/>
  <c r="BD46" i="5"/>
  <c r="BC46" i="5"/>
  <c r="AZ46" i="5"/>
  <c r="AY46" i="5"/>
  <c r="AV46" i="5"/>
  <c r="AU46" i="5"/>
  <c r="AR46" i="5"/>
  <c r="AQ46" i="5"/>
  <c r="AN46" i="5"/>
  <c r="AJ46" i="5"/>
  <c r="AH46" i="5"/>
  <c r="AG46" i="5"/>
  <c r="AF46" i="5"/>
  <c r="AB46" i="5"/>
  <c r="Z46" i="5"/>
  <c r="Y46" i="5"/>
  <c r="X46" i="5"/>
  <c r="T46" i="5"/>
  <c r="P46" i="5"/>
  <c r="O46" i="5"/>
  <c r="N46" i="5"/>
  <c r="M46" i="5"/>
  <c r="L46" i="5"/>
  <c r="H46" i="5"/>
  <c r="BL46" i="5" s="1"/>
  <c r="BL45" i="5"/>
  <c r="BH45" i="5"/>
  <c r="BC45" i="5"/>
  <c r="AY45" i="5"/>
  <c r="AU45" i="5"/>
  <c r="K45" i="5"/>
  <c r="I45" i="5"/>
  <c r="J45" i="5" s="1"/>
  <c r="BL44" i="5"/>
  <c r="BH44" i="5"/>
  <c r="BC44" i="5"/>
  <c r="AY44" i="5"/>
  <c r="AU44" i="5"/>
  <c r="AQ44" i="5"/>
  <c r="AM44" i="5"/>
  <c r="AI44" i="5"/>
  <c r="AE44" i="5"/>
  <c r="K44" i="5"/>
  <c r="I44" i="5"/>
  <c r="J44" i="5" s="1"/>
  <c r="BH43" i="5"/>
  <c r="BC43" i="5"/>
  <c r="AY43" i="5"/>
  <c r="AU43" i="5"/>
  <c r="AQ43" i="5"/>
  <c r="AM43" i="5"/>
  <c r="AI43" i="5"/>
  <c r="Y43" i="5"/>
  <c r="AA43" i="5" s="1"/>
  <c r="X43" i="5"/>
  <c r="I43" i="5" s="1"/>
  <c r="J43" i="5" s="1"/>
  <c r="W43" i="5"/>
  <c r="K43" i="5"/>
  <c r="H43" i="5"/>
  <c r="BL43" i="5" s="1"/>
  <c r="BQ42" i="5"/>
  <c r="BH42" i="5"/>
  <c r="BC42" i="5"/>
  <c r="AY42" i="5"/>
  <c r="AU42" i="5"/>
  <c r="AQ42" i="5"/>
  <c r="AM42" i="5"/>
  <c r="AI42" i="5"/>
  <c r="AE42" i="5"/>
  <c r="Y42" i="5"/>
  <c r="AA42" i="5" s="1"/>
  <c r="X42" i="5"/>
  <c r="I42" i="5" s="1"/>
  <c r="W42" i="5"/>
  <c r="K42" i="5"/>
  <c r="H42" i="5"/>
  <c r="BL42" i="5" s="1"/>
  <c r="BH41" i="5"/>
  <c r="BC41" i="5"/>
  <c r="AY41" i="5"/>
  <c r="AU41" i="5"/>
  <c r="AQ41" i="5"/>
  <c r="AM41" i="5"/>
  <c r="AI41" i="5"/>
  <c r="AE41" i="5"/>
  <c r="AA41" i="5"/>
  <c r="W41" i="5"/>
  <c r="K41" i="5"/>
  <c r="I41" i="5"/>
  <c r="H41" i="5"/>
  <c r="BL41" i="5" s="1"/>
  <c r="BQ40" i="5"/>
  <c r="BH40" i="5"/>
  <c r="BC40" i="5"/>
  <c r="AY40" i="5"/>
  <c r="AU40" i="5"/>
  <c r="AQ40" i="5"/>
  <c r="AM40" i="5"/>
  <c r="AI40" i="5"/>
  <c r="AE40" i="5"/>
  <c r="Y40" i="5"/>
  <c r="AA40" i="5" s="1"/>
  <c r="X40" i="5"/>
  <c r="I40" i="5" s="1"/>
  <c r="J40" i="5" s="1"/>
  <c r="W40" i="5"/>
  <c r="K40" i="5"/>
  <c r="H40" i="5"/>
  <c r="BL40" i="5" s="1"/>
  <c r="BL39" i="5"/>
  <c r="BH39" i="5"/>
  <c r="BC39" i="5"/>
  <c r="AY39" i="5"/>
  <c r="AU39" i="5"/>
  <c r="AQ39" i="5"/>
  <c r="AM39" i="5"/>
  <c r="AI39" i="5"/>
  <c r="AE39" i="5"/>
  <c r="AA39" i="5"/>
  <c r="W39" i="5"/>
  <c r="K39" i="5"/>
  <c r="I39" i="5"/>
  <c r="BQ38" i="5"/>
  <c r="BL38" i="5"/>
  <c r="BH38" i="5"/>
  <c r="BC38" i="5"/>
  <c r="AY38" i="5"/>
  <c r="AU38" i="5"/>
  <c r="AQ38" i="5"/>
  <c r="AM38" i="5"/>
  <c r="AI38" i="5"/>
  <c r="AE38" i="5"/>
  <c r="Y38" i="5"/>
  <c r="AA38" i="5" s="1"/>
  <c r="X38" i="5"/>
  <c r="I38" i="5" s="1"/>
  <c r="J38" i="5" s="1"/>
  <c r="W38" i="5"/>
  <c r="K38" i="5"/>
  <c r="BL37" i="5"/>
  <c r="BH37" i="5"/>
  <c r="BC37" i="5"/>
  <c r="AY37" i="5"/>
  <c r="AU37" i="5"/>
  <c r="AQ37" i="5"/>
  <c r="AM37" i="5"/>
  <c r="AI37" i="5"/>
  <c r="AE37" i="5"/>
  <c r="Y37" i="5"/>
  <c r="AA37" i="5" s="1"/>
  <c r="X37" i="5"/>
  <c r="I37" i="5" s="1"/>
  <c r="J37" i="5" s="1"/>
  <c r="W37" i="5"/>
  <c r="K37" i="5"/>
  <c r="BQ36" i="5"/>
  <c r="BL36" i="5"/>
  <c r="BH36" i="5"/>
  <c r="BC36" i="5"/>
  <c r="AY36" i="5"/>
  <c r="AU36" i="5"/>
  <c r="AQ36" i="5"/>
  <c r="AM36" i="5"/>
  <c r="AI36" i="5"/>
  <c r="AE36" i="5"/>
  <c r="Y36" i="5"/>
  <c r="AA36" i="5" s="1"/>
  <c r="X36" i="5"/>
  <c r="I36" i="5" s="1"/>
  <c r="J36" i="5" s="1"/>
  <c r="W36" i="5"/>
  <c r="K36" i="5"/>
  <c r="BL35" i="5"/>
  <c r="K35" i="5"/>
  <c r="I35" i="5"/>
  <c r="J35" i="5" s="1"/>
  <c r="BH34" i="5"/>
  <c r="BC34" i="5"/>
  <c r="AY34" i="5"/>
  <c r="AU34" i="5"/>
  <c r="AQ34" i="5"/>
  <c r="AM34" i="5"/>
  <c r="AI34" i="5"/>
  <c r="AE34" i="5"/>
  <c r="AA34" i="5"/>
  <c r="W34" i="5"/>
  <c r="K34" i="5"/>
  <c r="I34" i="5"/>
  <c r="H34" i="5"/>
  <c r="BL34" i="5" s="1"/>
  <c r="BQ33" i="5"/>
  <c r="BH33" i="5"/>
  <c r="BC33" i="5"/>
  <c r="AY33" i="5"/>
  <c r="AU33" i="5"/>
  <c r="AQ33" i="5"/>
  <c r="AI33" i="5"/>
  <c r="AE33" i="5"/>
  <c r="AA33" i="5"/>
  <c r="W33" i="5"/>
  <c r="K33" i="5"/>
  <c r="I33" i="5"/>
  <c r="H33" i="5"/>
  <c r="BL33" i="5" s="1"/>
  <c r="BQ32" i="5"/>
  <c r="BC32" i="5"/>
  <c r="AY32" i="5"/>
  <c r="AU32" i="5"/>
  <c r="AQ32" i="5"/>
  <c r="AI32" i="5"/>
  <c r="AE32" i="5"/>
  <c r="AA32" i="5"/>
  <c r="W32" i="5"/>
  <c r="K32" i="5"/>
  <c r="I32" i="5"/>
  <c r="H32" i="5"/>
  <c r="BL32" i="5" s="1"/>
  <c r="BL31" i="5"/>
  <c r="BC31" i="5"/>
  <c r="AY31" i="5"/>
  <c r="AU31" i="5"/>
  <c r="AQ31" i="5"/>
  <c r="AI31" i="5"/>
  <c r="AE31" i="5"/>
  <c r="AA31" i="5"/>
  <c r="W31" i="5"/>
  <c r="K31" i="5"/>
  <c r="I31" i="5"/>
  <c r="J31" i="5" s="1"/>
  <c r="AI30" i="5"/>
  <c r="AE30" i="5"/>
  <c r="K30" i="5"/>
  <c r="I30" i="5"/>
  <c r="J30" i="5" s="1"/>
  <c r="BQ29" i="5"/>
  <c r="BC29" i="5"/>
  <c r="AY29" i="5"/>
  <c r="AU29" i="5"/>
  <c r="AQ29" i="5"/>
  <c r="AI29" i="5"/>
  <c r="AC29" i="5"/>
  <c r="AE29" i="5" s="1"/>
  <c r="AB29" i="5"/>
  <c r="I29" i="5" s="1"/>
  <c r="AA29" i="5"/>
  <c r="W29" i="5"/>
  <c r="K29" i="5"/>
  <c r="H29" i="5"/>
  <c r="BL29" i="5" s="1"/>
  <c r="AG28" i="5"/>
  <c r="AI28" i="5" s="1"/>
  <c r="AF28" i="5"/>
  <c r="I28" i="5" s="1"/>
  <c r="K28" i="5"/>
  <c r="H28" i="5"/>
  <c r="BL28" i="5" s="1"/>
  <c r="AG27" i="5"/>
  <c r="AI27" i="5" s="1"/>
  <c r="AF27" i="5"/>
  <c r="I27" i="5" s="1"/>
  <c r="K27" i="5"/>
  <c r="H27" i="5"/>
  <c r="BL27" i="5" s="1"/>
  <c r="BL26" i="5"/>
  <c r="BC26" i="5"/>
  <c r="AY26" i="5"/>
  <c r="AU26" i="5"/>
  <c r="AQ26" i="5"/>
  <c r="AI26" i="5"/>
  <c r="AE26" i="5"/>
  <c r="AA26" i="5"/>
  <c r="W26" i="5"/>
  <c r="K26" i="5"/>
  <c r="I26" i="5"/>
  <c r="J26" i="5" s="1"/>
  <c r="BQ25" i="5"/>
  <c r="BC25" i="5"/>
  <c r="AY25" i="5"/>
  <c r="AU25" i="5"/>
  <c r="AQ25" i="5"/>
  <c r="AI25" i="5"/>
  <c r="AA25" i="5"/>
  <c r="W25" i="5"/>
  <c r="AE25" i="5" s="1"/>
  <c r="K25" i="5"/>
  <c r="I25" i="5"/>
  <c r="H25" i="5"/>
  <c r="BL25" i="5" s="1"/>
  <c r="BQ24" i="5"/>
  <c r="BH24" i="5"/>
  <c r="BC24" i="5"/>
  <c r="AY24" i="5"/>
  <c r="AU24" i="5"/>
  <c r="AQ24" i="5"/>
  <c r="AI24" i="5"/>
  <c r="AE24" i="5"/>
  <c r="AA24" i="5"/>
  <c r="W24" i="5"/>
  <c r="K24" i="5"/>
  <c r="I24" i="5"/>
  <c r="H24" i="5"/>
  <c r="BL24" i="5" s="1"/>
  <c r="BQ23" i="5"/>
  <c r="BH23" i="5"/>
  <c r="BC23" i="5"/>
  <c r="AY23" i="5"/>
  <c r="AU23" i="5"/>
  <c r="AQ23" i="5"/>
  <c r="AM23" i="5"/>
  <c r="AE23" i="5"/>
  <c r="W23" i="5"/>
  <c r="AA23" i="5" s="1"/>
  <c r="K23" i="5"/>
  <c r="I23" i="5"/>
  <c r="H23" i="5"/>
  <c r="BL23" i="5" s="1"/>
  <c r="BL22" i="5"/>
  <c r="AY22" i="5"/>
  <c r="AU22" i="5"/>
  <c r="AQ22" i="5"/>
  <c r="AM22" i="5"/>
  <c r="AI22" i="5"/>
  <c r="AE22" i="5"/>
  <c r="AA22" i="5"/>
  <c r="W22" i="5"/>
  <c r="K22" i="5"/>
  <c r="I22" i="5"/>
  <c r="J22" i="5" s="1"/>
  <c r="BQ21" i="5"/>
  <c r="BL21" i="5"/>
  <c r="BH21" i="5"/>
  <c r="BC21" i="5"/>
  <c r="AY21" i="5"/>
  <c r="AU21" i="5"/>
  <c r="AQ21" i="5"/>
  <c r="AM21" i="5"/>
  <c r="AI21" i="5"/>
  <c r="AE21" i="5"/>
  <c r="AA21" i="5"/>
  <c r="W21" i="5"/>
  <c r="K21" i="5"/>
  <c r="I21" i="5"/>
  <c r="J21" i="5" s="1"/>
  <c r="BQ20" i="5"/>
  <c r="BL20" i="5"/>
  <c r="BH20" i="5"/>
  <c r="AY20" i="5"/>
  <c r="AU20" i="5"/>
  <c r="AQ20" i="5"/>
  <c r="AM20" i="5"/>
  <c r="AI20" i="5"/>
  <c r="AE20" i="5"/>
  <c r="AA20" i="5"/>
  <c r="W20" i="5"/>
  <c r="K20" i="5"/>
  <c r="I20" i="5"/>
  <c r="J20" i="5" s="1"/>
  <c r="BK19" i="5"/>
  <c r="BJ19" i="5"/>
  <c r="BG19" i="5"/>
  <c r="BF19" i="5"/>
  <c r="BE19" i="5"/>
  <c r="BB19" i="5"/>
  <c r="BA19" i="5"/>
  <c r="AZ19" i="5"/>
  <c r="AT19" i="5"/>
  <c r="AS19" i="5"/>
  <c r="AR19" i="5"/>
  <c r="AP19" i="5"/>
  <c r="AO19" i="5"/>
  <c r="AL19" i="5"/>
  <c r="AH19" i="5"/>
  <c r="AG19" i="5"/>
  <c r="AF19" i="5"/>
  <c r="R19" i="5"/>
  <c r="Q19" i="5"/>
  <c r="P19" i="5"/>
  <c r="O19" i="5"/>
  <c r="N19" i="5"/>
  <c r="N16" i="5" s="1"/>
  <c r="M19" i="5"/>
  <c r="L19" i="5"/>
  <c r="BK18" i="5"/>
  <c r="BJ18" i="5"/>
  <c r="BG18" i="5"/>
  <c r="BF18" i="5"/>
  <c r="BE18" i="5"/>
  <c r="BB18" i="5"/>
  <c r="BB14" i="5" s="1"/>
  <c r="BA18" i="5"/>
  <c r="BA14" i="5" s="1"/>
  <c r="AT18" i="5"/>
  <c r="AT14" i="5" s="1"/>
  <c r="AS18" i="5"/>
  <c r="AS14" i="5" s="1"/>
  <c r="AP18" i="5"/>
  <c r="AP14" i="5" s="1"/>
  <c r="AO18" i="5"/>
  <c r="AO14" i="5" s="1"/>
  <c r="AL18" i="5"/>
  <c r="S18" i="5"/>
  <c r="R18" i="5"/>
  <c r="Q18" i="5"/>
  <c r="BL17" i="5"/>
  <c r="BK17" i="5"/>
  <c r="BJ17" i="5"/>
  <c r="BH17" i="5"/>
  <c r="BG17" i="5"/>
  <c r="BF17" i="5"/>
  <c r="BE17" i="5"/>
  <c r="BA17" i="5"/>
  <c r="AY17" i="5"/>
  <c r="AS17" i="5"/>
  <c r="AO17" i="5"/>
  <c r="AI17" i="5"/>
  <c r="AG17" i="5"/>
  <c r="AC17" i="5"/>
  <c r="X17" i="5"/>
  <c r="V17" i="5"/>
  <c r="P17" i="5"/>
  <c r="BF15" i="5"/>
  <c r="N186" i="4"/>
  <c r="K186" i="4"/>
  <c r="M186" i="4" s="1"/>
  <c r="D185" i="4"/>
  <c r="E185" i="4" s="1"/>
  <c r="D184" i="4"/>
  <c r="E184" i="4" s="1"/>
  <c r="D183" i="4"/>
  <c r="E183" i="4" s="1"/>
  <c r="D182" i="4"/>
  <c r="E182" i="4" s="1"/>
  <c r="D181" i="4"/>
  <c r="D180" i="4"/>
  <c r="E180" i="4" s="1"/>
  <c r="D179" i="4"/>
  <c r="E179" i="4" s="1"/>
  <c r="D178" i="4"/>
  <c r="E178" i="4" s="1"/>
  <c r="D177" i="4"/>
  <c r="E177" i="4" s="1"/>
  <c r="D176" i="4"/>
  <c r="E176" i="4" s="1"/>
  <c r="D175" i="4"/>
  <c r="E175" i="4" s="1"/>
  <c r="C174" i="4"/>
  <c r="D173" i="4"/>
  <c r="E173" i="4" s="1"/>
  <c r="D172" i="4"/>
  <c r="E172" i="4" s="1"/>
  <c r="D171" i="4"/>
  <c r="E171" i="4" s="1"/>
  <c r="D170" i="4"/>
  <c r="C170" i="4"/>
  <c r="C169" i="4"/>
  <c r="C168" i="4" s="1"/>
  <c r="D167" i="4"/>
  <c r="E167" i="4" s="1"/>
  <c r="D166" i="4"/>
  <c r="E165" i="4"/>
  <c r="D164" i="4"/>
  <c r="E164" i="4" s="1"/>
  <c r="C163" i="4"/>
  <c r="C162" i="4" s="1"/>
  <c r="D161" i="4"/>
  <c r="E161" i="4" s="1"/>
  <c r="D160" i="4"/>
  <c r="E160" i="4" s="1"/>
  <c r="D159" i="4"/>
  <c r="E159" i="4" s="1"/>
  <c r="D158" i="4"/>
  <c r="E158" i="4" s="1"/>
  <c r="D157" i="4"/>
  <c r="E157" i="4" s="1"/>
  <c r="D156" i="4"/>
  <c r="E156" i="4" s="1"/>
  <c r="D155" i="4"/>
  <c r="E155" i="4" s="1"/>
  <c r="D154" i="4"/>
  <c r="E154" i="4" s="1"/>
  <c r="D153" i="4"/>
  <c r="E153" i="4" s="1"/>
  <c r="D152" i="4"/>
  <c r="E152" i="4" s="1"/>
  <c r="D151" i="4"/>
  <c r="D150" i="4"/>
  <c r="E150" i="4" s="1"/>
  <c r="D149" i="4"/>
  <c r="E149" i="4" s="1"/>
  <c r="D148" i="4"/>
  <c r="E148" i="4" s="1"/>
  <c r="C147" i="4"/>
  <c r="C146" i="4"/>
  <c r="C145" i="4" s="1"/>
  <c r="D144" i="4"/>
  <c r="E144" i="4" s="1"/>
  <c r="D143" i="4"/>
  <c r="E143" i="4" s="1"/>
  <c r="D142" i="4"/>
  <c r="E142" i="4" s="1"/>
  <c r="D141" i="4"/>
  <c r="E141" i="4" s="1"/>
  <c r="D140" i="4"/>
  <c r="E140" i="4" s="1"/>
  <c r="D139" i="4"/>
  <c r="E139" i="4" s="1"/>
  <c r="D138" i="4"/>
  <c r="E138" i="4" s="1"/>
  <c r="D137" i="4"/>
  <c r="E137" i="4" s="1"/>
  <c r="C136" i="4"/>
  <c r="C135" i="4" s="1"/>
  <c r="D134" i="4"/>
  <c r="E134" i="4" s="1"/>
  <c r="D133" i="4"/>
  <c r="E133" i="4" s="1"/>
  <c r="D132" i="4"/>
  <c r="E132" i="4" s="1"/>
  <c r="D131" i="4"/>
  <c r="D128" i="4" s="1"/>
  <c r="D130" i="4"/>
  <c r="E130" i="4" s="1"/>
  <c r="D129" i="4"/>
  <c r="E129" i="4" s="1"/>
  <c r="C128" i="4"/>
  <c r="D127" i="4"/>
  <c r="C127" i="4"/>
  <c r="D125" i="4"/>
  <c r="E125" i="4" s="1"/>
  <c r="D124" i="4"/>
  <c r="E124" i="4" s="1"/>
  <c r="D123" i="4"/>
  <c r="E123" i="4" s="1"/>
  <c r="D122" i="4"/>
  <c r="E122" i="4" s="1"/>
  <c r="D121" i="4"/>
  <c r="D120" i="4"/>
  <c r="E120" i="4" s="1"/>
  <c r="D119" i="4"/>
  <c r="E119" i="4" s="1"/>
  <c r="D118" i="4"/>
  <c r="E118" i="4" s="1"/>
  <c r="D117" i="4"/>
  <c r="E117" i="4" s="1"/>
  <c r="D116" i="4"/>
  <c r="E116" i="4" s="1"/>
  <c r="C115" i="4"/>
  <c r="C114" i="4" s="1"/>
  <c r="D113" i="4"/>
  <c r="E113" i="4" s="1"/>
  <c r="D112" i="4"/>
  <c r="E112" i="4" s="1"/>
  <c r="D111" i="4"/>
  <c r="E111" i="4" s="1"/>
  <c r="D110" i="4"/>
  <c r="E110" i="4" s="1"/>
  <c r="D109" i="4"/>
  <c r="E109" i="4" s="1"/>
  <c r="D108" i="4"/>
  <c r="E108" i="4" s="1"/>
  <c r="D107" i="4"/>
  <c r="E107" i="4" s="1"/>
  <c r="D106" i="4"/>
  <c r="E106" i="4" s="1"/>
  <c r="D105" i="4"/>
  <c r="E105" i="4" s="1"/>
  <c r="D104" i="4"/>
  <c r="E104" i="4" s="1"/>
  <c r="D103" i="4"/>
  <c r="E103" i="4" s="1"/>
  <c r="D102" i="4"/>
  <c r="E102" i="4" s="1"/>
  <c r="D101" i="4"/>
  <c r="C99" i="4"/>
  <c r="C98" i="4"/>
  <c r="D96" i="4"/>
  <c r="E96" i="4" s="1"/>
  <c r="D95" i="4"/>
  <c r="E95" i="4" s="1"/>
  <c r="C94" i="4"/>
  <c r="C93" i="4" s="1"/>
  <c r="D92" i="4"/>
  <c r="E92" i="4" s="1"/>
  <c r="D91" i="4"/>
  <c r="E91" i="4" s="1"/>
  <c r="D90" i="4"/>
  <c r="E90" i="4" s="1"/>
  <c r="D89" i="4"/>
  <c r="E89" i="4" s="1"/>
  <c r="D88" i="4"/>
  <c r="E88" i="4" s="1"/>
  <c r="D87" i="4"/>
  <c r="E87" i="4" s="1"/>
  <c r="D86" i="4"/>
  <c r="E86" i="4" s="1"/>
  <c r="D85" i="4"/>
  <c r="E85" i="4" s="1"/>
  <c r="D84" i="4"/>
  <c r="E84" i="4" s="1"/>
  <c r="D83" i="4"/>
  <c r="D82" i="4"/>
  <c r="E82" i="4" s="1"/>
  <c r="D81" i="4"/>
  <c r="E81" i="4" s="1"/>
  <c r="D80" i="4"/>
  <c r="E80" i="4" s="1"/>
  <c r="D79" i="4"/>
  <c r="E79" i="4" s="1"/>
  <c r="D78" i="4"/>
  <c r="E78" i="4" s="1"/>
  <c r="D77" i="4"/>
  <c r="E77" i="4" s="1"/>
  <c r="D76" i="4"/>
  <c r="E76" i="4" s="1"/>
  <c r="D75" i="4"/>
  <c r="E75" i="4" s="1"/>
  <c r="D74" i="4"/>
  <c r="E74" i="4" s="1"/>
  <c r="D73" i="4"/>
  <c r="E73" i="4" s="1"/>
  <c r="C72" i="4"/>
  <c r="C71" i="4"/>
  <c r="E69" i="4"/>
  <c r="E68" i="4"/>
  <c r="E67" i="4"/>
  <c r="E66" i="4"/>
  <c r="D65" i="4"/>
  <c r="E65" i="4" s="1"/>
  <c r="D64" i="4"/>
  <c r="E64" i="4" s="1"/>
  <c r="D63" i="4"/>
  <c r="D62" i="4"/>
  <c r="E62" i="4" s="1"/>
  <c r="D61" i="4"/>
  <c r="E61" i="4" s="1"/>
  <c r="D60" i="4"/>
  <c r="E60" i="4" s="1"/>
  <c r="D59" i="4"/>
  <c r="E59" i="4" s="1"/>
  <c r="D58" i="4"/>
  <c r="E58" i="4" s="1"/>
  <c r="D57" i="4"/>
  <c r="E57" i="4" s="1"/>
  <c r="D56" i="4"/>
  <c r="E56" i="4" s="1"/>
  <c r="D55" i="4"/>
  <c r="E55" i="4" s="1"/>
  <c r="D54" i="4"/>
  <c r="E54" i="4" s="1"/>
  <c r="D53" i="4"/>
  <c r="E53" i="4" s="1"/>
  <c r="D52" i="4"/>
  <c r="E52" i="4" s="1"/>
  <c r="D51" i="4"/>
  <c r="E51" i="4" s="1"/>
  <c r="D50" i="4"/>
  <c r="E50" i="4" s="1"/>
  <c r="D49" i="4"/>
  <c r="E49" i="4" s="1"/>
  <c r="D48" i="4"/>
  <c r="E48" i="4" s="1"/>
  <c r="D47" i="4"/>
  <c r="E47" i="4" s="1"/>
  <c r="D46" i="4"/>
  <c r="D45" i="4"/>
  <c r="E45" i="4" s="1"/>
  <c r="D44" i="4"/>
  <c r="E44" i="4" s="1"/>
  <c r="D43" i="4"/>
  <c r="E43" i="4" s="1"/>
  <c r="D42" i="4"/>
  <c r="E42" i="4" s="1"/>
  <c r="D41" i="4"/>
  <c r="E41" i="4" s="1"/>
  <c r="D40" i="4"/>
  <c r="E40" i="4" s="1"/>
  <c r="D39" i="4"/>
  <c r="E39" i="4" s="1"/>
  <c r="D38" i="4"/>
  <c r="E38" i="4" s="1"/>
  <c r="D37" i="4"/>
  <c r="E37" i="4" s="1"/>
  <c r="D36" i="4"/>
  <c r="E36" i="4" s="1"/>
  <c r="D35" i="4"/>
  <c r="E35" i="4" s="1"/>
  <c r="D34" i="4"/>
  <c r="E34" i="4" s="1"/>
  <c r="D33" i="4"/>
  <c r="E33" i="4" s="1"/>
  <c r="D32" i="4"/>
  <c r="E32" i="4" s="1"/>
  <c r="D31" i="4"/>
  <c r="E31" i="4" s="1"/>
  <c r="D30" i="4"/>
  <c r="E30" i="4" s="1"/>
  <c r="D29" i="4"/>
  <c r="E29" i="4" s="1"/>
  <c r="D28" i="4"/>
  <c r="E28" i="4" s="1"/>
  <c r="E27" i="4"/>
  <c r="D26" i="4"/>
  <c r="E26" i="4" s="1"/>
  <c r="D25" i="4"/>
  <c r="D24" i="4"/>
  <c r="E24" i="4" s="1"/>
  <c r="C23" i="4"/>
  <c r="C22" i="4"/>
  <c r="C126" i="4" l="1"/>
  <c r="D23" i="4"/>
  <c r="K39" i="7"/>
  <c r="C70" i="4"/>
  <c r="C97" i="4"/>
  <c r="E131" i="4"/>
  <c r="E128" i="4" s="1"/>
  <c r="D94" i="4"/>
  <c r="D93" i="4" s="1"/>
  <c r="D126" i="4"/>
  <c r="C20" i="4"/>
  <c r="K32" i="7"/>
  <c r="X239" i="5"/>
  <c r="X238" i="5"/>
  <c r="AF238" i="5"/>
  <c r="AQ143" i="5"/>
  <c r="AQ236" i="5"/>
  <c r="W7" i="6"/>
  <c r="AU143" i="5"/>
  <c r="AU236" i="5"/>
  <c r="AY236" i="5"/>
  <c r="BC236" i="5"/>
  <c r="Y7" i="6"/>
  <c r="E10" i="6"/>
  <c r="G13" i="6"/>
  <c r="D7" i="6"/>
  <c r="AD7" i="6" s="1"/>
  <c r="G10" i="6"/>
  <c r="E8" i="6"/>
  <c r="G9" i="6"/>
  <c r="G11" i="6"/>
  <c r="E13" i="6"/>
  <c r="E12" i="6"/>
  <c r="AD12" i="6"/>
  <c r="AL14" i="5"/>
  <c r="F40" i="6"/>
  <c r="U7" i="6"/>
  <c r="I35" i="17"/>
  <c r="J35" i="17" s="1"/>
  <c r="D37" i="6"/>
  <c r="C34" i="7"/>
  <c r="M18" i="5"/>
  <c r="AA145" i="5"/>
  <c r="AA232" i="5"/>
  <c r="X121" i="5"/>
  <c r="J27" i="5"/>
  <c r="Y121" i="5"/>
  <c r="AK18" i="5"/>
  <c r="AK14" i="5" s="1"/>
  <c r="U18" i="5"/>
  <c r="AE80" i="5"/>
  <c r="J128" i="5"/>
  <c r="S142" i="5"/>
  <c r="AV18" i="5"/>
  <c r="AV14" i="5" s="1"/>
  <c r="J60" i="5"/>
  <c r="Y122" i="5"/>
  <c r="I141" i="5"/>
  <c r="J141" i="5" s="1"/>
  <c r="H22" i="7"/>
  <c r="I22" i="7" s="1"/>
  <c r="Y142" i="5"/>
  <c r="I178" i="5"/>
  <c r="J178" i="5" s="1"/>
  <c r="AA37" i="6"/>
  <c r="AB142" i="5"/>
  <c r="H187" i="5"/>
  <c r="H19" i="5"/>
  <c r="H16" i="5" s="1"/>
  <c r="AB121" i="5"/>
  <c r="D48" i="6"/>
  <c r="J77" i="5"/>
  <c r="X101" i="5"/>
  <c r="I146" i="5"/>
  <c r="J146" i="5" s="1"/>
  <c r="AO239" i="5"/>
  <c r="Y175" i="5"/>
  <c r="X19" i="5"/>
  <c r="X229" i="5" s="1"/>
  <c r="X243" i="5" s="1"/>
  <c r="AA103" i="5"/>
  <c r="AY103" i="5"/>
  <c r="J105" i="5"/>
  <c r="W176" i="5"/>
  <c r="AA187" i="5"/>
  <c r="AY188" i="5"/>
  <c r="AY238" i="5" s="1"/>
  <c r="J69" i="5"/>
  <c r="J72" i="5"/>
  <c r="AC142" i="5"/>
  <c r="J29" i="5"/>
  <c r="L18" i="5"/>
  <c r="L14" i="5" s="1"/>
  <c r="AH18" i="5"/>
  <c r="AH228" i="5" s="1"/>
  <c r="M15" i="5"/>
  <c r="J28" i="5"/>
  <c r="N18" i="5"/>
  <c r="J75" i="5"/>
  <c r="AA80" i="5"/>
  <c r="K140" i="5"/>
  <c r="L42" i="17" s="1"/>
  <c r="M42" i="17" s="1"/>
  <c r="K141" i="5"/>
  <c r="BD142" i="5"/>
  <c r="AA161" i="5"/>
  <c r="P176" i="5"/>
  <c r="P15" i="5" s="1"/>
  <c r="K187" i="5"/>
  <c r="J59" i="5"/>
  <c r="AW19" i="5"/>
  <c r="J109" i="5"/>
  <c r="AC121" i="5"/>
  <c r="W140" i="5"/>
  <c r="W121" i="5" s="1"/>
  <c r="W141" i="5"/>
  <c r="W122" i="5" s="1"/>
  <c r="AE148" i="5"/>
  <c r="AU148" i="5" s="1"/>
  <c r="BE15" i="5"/>
  <c r="AA180" i="5"/>
  <c r="AA175" i="5" s="1"/>
  <c r="BH238" i="5"/>
  <c r="S211" i="5"/>
  <c r="S236" i="5" s="1"/>
  <c r="J42" i="5"/>
  <c r="AR18" i="5"/>
  <c r="AR14" i="5" s="1"/>
  <c r="J71" i="5"/>
  <c r="AX19" i="5"/>
  <c r="AX16" i="5" s="1"/>
  <c r="O16" i="5"/>
  <c r="I147" i="5"/>
  <c r="J147" i="5" s="1"/>
  <c r="Q176" i="5"/>
  <c r="J56" i="5"/>
  <c r="J62" i="5"/>
  <c r="AW18" i="5"/>
  <c r="W81" i="5"/>
  <c r="H101" i="5"/>
  <c r="V122" i="5"/>
  <c r="AA163" i="5"/>
  <c r="AP239" i="5"/>
  <c r="AV239" i="5"/>
  <c r="J191" i="5"/>
  <c r="J78" i="5"/>
  <c r="AJ18" i="5"/>
  <c r="AJ14" i="5" s="1"/>
  <c r="AD19" i="5"/>
  <c r="AD16" i="5" s="1"/>
  <c r="J108" i="5"/>
  <c r="BE16" i="5"/>
  <c r="J157" i="5"/>
  <c r="J162" i="5"/>
  <c r="J163" i="5"/>
  <c r="T176" i="5"/>
  <c r="T15" i="5" s="1"/>
  <c r="W239" i="5"/>
  <c r="BD241" i="5"/>
  <c r="AY79" i="5"/>
  <c r="M25" i="17"/>
  <c r="O25" i="17"/>
  <c r="O21" i="17"/>
  <c r="B36" i="17"/>
  <c r="B45" i="17" s="1"/>
  <c r="O13" i="17"/>
  <c r="O12" i="17"/>
  <c r="J24" i="17"/>
  <c r="J29" i="17"/>
  <c r="J33" i="17"/>
  <c r="M12" i="17"/>
  <c r="O10" i="17"/>
  <c r="J18" i="17"/>
  <c r="J19" i="17"/>
  <c r="J21" i="17"/>
  <c r="AQ232" i="5"/>
  <c r="BC122" i="5"/>
  <c r="I168" i="5"/>
  <c r="AU187" i="5"/>
  <c r="AM176" i="5"/>
  <c r="AA188" i="5"/>
  <c r="W175" i="5"/>
  <c r="AU175" i="5"/>
  <c r="AU239" i="5"/>
  <c r="W23" i="6"/>
  <c r="S175" i="5"/>
  <c r="BG15" i="5"/>
  <c r="AI46" i="5"/>
  <c r="O18" i="5"/>
  <c r="O228" i="5" s="1"/>
  <c r="J55" i="5"/>
  <c r="J82" i="5" s="1"/>
  <c r="I57" i="5"/>
  <c r="J57" i="5" s="1"/>
  <c r="V19" i="5"/>
  <c r="H121" i="5"/>
  <c r="X122" i="5"/>
  <c r="J126" i="5"/>
  <c r="AA146" i="5"/>
  <c r="AA162" i="5"/>
  <c r="I185" i="5"/>
  <c r="J185" i="5" s="1"/>
  <c r="T238" i="5"/>
  <c r="L16" i="5"/>
  <c r="R16" i="5"/>
  <c r="Y15" i="5"/>
  <c r="AZ16" i="5"/>
  <c r="J23" i="5"/>
  <c r="J32" i="5"/>
  <c r="J52" i="5"/>
  <c r="C22" i="7"/>
  <c r="D22" i="7" s="1"/>
  <c r="J61" i="5"/>
  <c r="J73" i="5"/>
  <c r="J89" i="5"/>
  <c r="AB103" i="5"/>
  <c r="J132" i="5"/>
  <c r="Z176" i="5"/>
  <c r="Z15" i="5" s="1"/>
  <c r="AA178" i="5"/>
  <c r="AA176" i="5" s="1"/>
  <c r="BH175" i="5"/>
  <c r="N15" i="5"/>
  <c r="AH15" i="5"/>
  <c r="I190" i="5"/>
  <c r="I17" i="5" s="1"/>
  <c r="H204" i="5"/>
  <c r="J208" i="5"/>
  <c r="J204" i="5" s="1"/>
  <c r="J218" i="5"/>
  <c r="F39" i="6"/>
  <c r="J24" i="5"/>
  <c r="J33" i="5"/>
  <c r="J41" i="5"/>
  <c r="AZ18" i="5"/>
  <c r="AZ14" i="5" s="1"/>
  <c r="AI47" i="5"/>
  <c r="J70" i="5"/>
  <c r="J76" i="5"/>
  <c r="AM79" i="5"/>
  <c r="AM18" i="5" s="1"/>
  <c r="AX18" i="5"/>
  <c r="AA82" i="5"/>
  <c r="AC103" i="5"/>
  <c r="AE103" i="5"/>
  <c r="BC103" i="5"/>
  <c r="AE234" i="5"/>
  <c r="BC234" i="5"/>
  <c r="X142" i="5"/>
  <c r="J160" i="5"/>
  <c r="K176" i="5"/>
  <c r="AU176" i="5"/>
  <c r="AE176" i="5"/>
  <c r="O15" i="5"/>
  <c r="AB239" i="5"/>
  <c r="AH239" i="5"/>
  <c r="BL187" i="5"/>
  <c r="H211" i="5"/>
  <c r="U228" i="5"/>
  <c r="N229" i="5"/>
  <c r="N243" i="5" s="1"/>
  <c r="N245" i="5" s="1"/>
  <c r="AM232" i="5"/>
  <c r="J53" i="5"/>
  <c r="AC18" i="5"/>
  <c r="AB19" i="5"/>
  <c r="H142" i="5"/>
  <c r="AE239" i="5"/>
  <c r="BM211" i="5"/>
  <c r="BK15" i="5"/>
  <c r="J188" i="5"/>
  <c r="AP229" i="5"/>
  <c r="J25" i="5"/>
  <c r="J34" i="5"/>
  <c r="P18" i="5"/>
  <c r="W79" i="5"/>
  <c r="W80" i="5"/>
  <c r="AA81" i="5"/>
  <c r="BB16" i="5"/>
  <c r="J131" i="5"/>
  <c r="AA160" i="5"/>
  <c r="X175" i="5"/>
  <c r="I188" i="5"/>
  <c r="AU188" i="5"/>
  <c r="J196" i="5"/>
  <c r="J187" i="5" s="1"/>
  <c r="BC241" i="5"/>
  <c r="S7" i="6"/>
  <c r="O57" i="6"/>
  <c r="Q57" i="6" s="1"/>
  <c r="C10" i="7"/>
  <c r="D10" i="7" s="1"/>
  <c r="C16" i="7"/>
  <c r="AQ103" i="5"/>
  <c r="AA15" i="6"/>
  <c r="I47" i="5"/>
  <c r="AA121" i="5"/>
  <c r="K79" i="5"/>
  <c r="L14" i="17" s="1"/>
  <c r="M14" i="17" s="1"/>
  <c r="AM103" i="5"/>
  <c r="BL103" i="5"/>
  <c r="AY122" i="5"/>
  <c r="AQ122" i="5"/>
  <c r="M7" i="6"/>
  <c r="M48" i="6" s="1"/>
  <c r="M51" i="6" s="1"/>
  <c r="AA7" i="6"/>
  <c r="Y37" i="6"/>
  <c r="Y48" i="6" s="1"/>
  <c r="Y52" i="6" s="1"/>
  <c r="BL189" i="5"/>
  <c r="W37" i="6"/>
  <c r="K189" i="5"/>
  <c r="K7" i="6"/>
  <c r="F21" i="6"/>
  <c r="W143" i="5"/>
  <c r="AI142" i="5"/>
  <c r="K167" i="5"/>
  <c r="I187" i="5"/>
  <c r="W46" i="5"/>
  <c r="AU122" i="5"/>
  <c r="AM143" i="5"/>
  <c r="AM15" i="5" s="1"/>
  <c r="E127" i="4"/>
  <c r="E126" i="4" s="1"/>
  <c r="E136" i="4"/>
  <c r="E135" i="4" s="1"/>
  <c r="D71" i="4"/>
  <c r="E94" i="4"/>
  <c r="E93" i="4" s="1"/>
  <c r="D136" i="4"/>
  <c r="D135" i="4" s="1"/>
  <c r="E63" i="4"/>
  <c r="L186" i="4"/>
  <c r="C17" i="4"/>
  <c r="D174" i="4"/>
  <c r="O30" i="17"/>
  <c r="D99" i="4"/>
  <c r="D147" i="4"/>
  <c r="K33" i="7"/>
  <c r="C21" i="4"/>
  <c r="C19" i="4"/>
  <c r="C16" i="4"/>
  <c r="D22" i="4"/>
  <c r="E25" i="4"/>
  <c r="E121" i="4"/>
  <c r="D115" i="4"/>
  <c r="D114" i="4" s="1"/>
  <c r="E71" i="4"/>
  <c r="E99" i="4"/>
  <c r="E83" i="4"/>
  <c r="D72" i="4"/>
  <c r="E101" i="4"/>
  <c r="D98" i="4"/>
  <c r="E151" i="4"/>
  <c r="D146" i="4"/>
  <c r="E174" i="4"/>
  <c r="E147" i="4"/>
  <c r="E170" i="4"/>
  <c r="D169" i="4"/>
  <c r="D168" i="4" s="1"/>
  <c r="E181" i="4"/>
  <c r="D163" i="4"/>
  <c r="D162" i="4" s="1"/>
  <c r="E166" i="4"/>
  <c r="N9" i="17"/>
  <c r="O9" i="17" s="1"/>
  <c r="G30" i="7"/>
  <c r="J8" i="7"/>
  <c r="K8" i="7" s="1"/>
  <c r="K28" i="17"/>
  <c r="O33" i="17"/>
  <c r="I143" i="5"/>
  <c r="J15" i="7"/>
  <c r="K15" i="7" s="1"/>
  <c r="K31" i="17"/>
  <c r="J27" i="7"/>
  <c r="G27" i="7"/>
  <c r="K31" i="7"/>
  <c r="K29" i="7"/>
  <c r="J30" i="7"/>
  <c r="E27" i="7"/>
  <c r="F27" i="7" s="1"/>
  <c r="K28" i="7"/>
  <c r="C33" i="7"/>
  <c r="D33" i="7" s="1"/>
  <c r="O32" i="17"/>
  <c r="O42" i="17"/>
  <c r="M34" i="17"/>
  <c r="F29" i="7"/>
  <c r="O29" i="17"/>
  <c r="O34" i="17"/>
  <c r="E8" i="7"/>
  <c r="F8" i="7" s="1"/>
  <c r="E15" i="7"/>
  <c r="F15" i="7" s="1"/>
  <c r="I9" i="17"/>
  <c r="J9" i="17" s="1"/>
  <c r="J32" i="17"/>
  <c r="I16" i="17"/>
  <c r="J16" i="17" s="1"/>
  <c r="I28" i="17"/>
  <c r="J28" i="17" s="1"/>
  <c r="F32" i="7"/>
  <c r="O11" i="17"/>
  <c r="N31" i="17"/>
  <c r="N16" i="17"/>
  <c r="O16" i="17" s="1"/>
  <c r="N28" i="17"/>
  <c r="L32" i="17"/>
  <c r="M32" i="17" s="1"/>
  <c r="H31" i="7"/>
  <c r="I31" i="7" s="1"/>
  <c r="C34" i="17"/>
  <c r="H34" i="17" s="1"/>
  <c r="I204" i="5"/>
  <c r="V238" i="5"/>
  <c r="AB238" i="5"/>
  <c r="AO238" i="5"/>
  <c r="BA238" i="5"/>
  <c r="BB239" i="5"/>
  <c r="AI187" i="5"/>
  <c r="AI238" i="5" s="1"/>
  <c r="F38" i="6"/>
  <c r="H33" i="7"/>
  <c r="I33" i="7" s="1"/>
  <c r="AD239" i="5"/>
  <c r="L33" i="17"/>
  <c r="M33" i="17" s="1"/>
  <c r="Y239" i="5"/>
  <c r="K188" i="5"/>
  <c r="R14" i="5"/>
  <c r="BK16" i="5"/>
  <c r="AX238" i="5"/>
  <c r="AC241" i="5"/>
  <c r="AO241" i="5"/>
  <c r="BJ14" i="5"/>
  <c r="AL238" i="5"/>
  <c r="AL239" i="5"/>
  <c r="AR239" i="5"/>
  <c r="AX239" i="5"/>
  <c r="AB15" i="5"/>
  <c r="AT241" i="5"/>
  <c r="BL204" i="5"/>
  <c r="K211" i="5"/>
  <c r="AU241" i="5"/>
  <c r="X241" i="5"/>
  <c r="AD241" i="5"/>
  <c r="AJ241" i="5"/>
  <c r="AP241" i="5"/>
  <c r="AV241" i="5"/>
  <c r="BB241" i="5"/>
  <c r="AI211" i="5"/>
  <c r="C31" i="7"/>
  <c r="D31" i="7" s="1"/>
  <c r="Z238" i="5"/>
  <c r="AI241" i="5"/>
  <c r="Y17" i="5"/>
  <c r="AE17" i="5"/>
  <c r="BK14" i="5"/>
  <c r="BK12" i="5" s="1"/>
  <c r="BG16" i="5"/>
  <c r="X15" i="5"/>
  <c r="AH238" i="5"/>
  <c r="BC239" i="5"/>
  <c r="I211" i="5"/>
  <c r="K37" i="6"/>
  <c r="BA241" i="5"/>
  <c r="BL211" i="5"/>
  <c r="BL15" i="5" s="1"/>
  <c r="BJ15" i="5"/>
  <c r="P16" i="5"/>
  <c r="AS16" i="5"/>
  <c r="N14" i="5"/>
  <c r="N12" i="5" s="1"/>
  <c r="AQ238" i="5"/>
  <c r="AW238" i="5"/>
  <c r="BC238" i="5"/>
  <c r="AC15" i="5"/>
  <c r="AW239" i="5"/>
  <c r="BD239" i="5"/>
  <c r="BM204" i="5"/>
  <c r="Q229" i="5"/>
  <c r="Q243" i="5" s="1"/>
  <c r="Q16" i="5"/>
  <c r="AE236" i="5"/>
  <c r="AE143" i="5"/>
  <c r="K175" i="5"/>
  <c r="C21" i="17"/>
  <c r="H21" i="17" s="1"/>
  <c r="AN18" i="5"/>
  <c r="W82" i="5"/>
  <c r="AC19" i="5"/>
  <c r="AE82" i="5"/>
  <c r="W101" i="5"/>
  <c r="AO16" i="5"/>
  <c r="BC143" i="5"/>
  <c r="BL142" i="5"/>
  <c r="C12" i="7"/>
  <c r="D12" i="7" s="1"/>
  <c r="V228" i="5"/>
  <c r="V230" i="5" s="1"/>
  <c r="V14" i="5"/>
  <c r="AL16" i="5"/>
  <c r="AN19" i="5"/>
  <c r="AN229" i="5" s="1"/>
  <c r="V229" i="5"/>
  <c r="V16" i="5"/>
  <c r="K81" i="5"/>
  <c r="I176" i="5"/>
  <c r="I80" i="5"/>
  <c r="X18" i="5"/>
  <c r="M228" i="5"/>
  <c r="Y19" i="5"/>
  <c r="Y229" i="5" s="1"/>
  <c r="Y243" i="5" s="1"/>
  <c r="Q15" i="5"/>
  <c r="C20" i="7"/>
  <c r="D20" i="7" s="1"/>
  <c r="BD19" i="5"/>
  <c r="BD16" i="5" s="1"/>
  <c r="P229" i="5"/>
  <c r="P243" i="5" s="1"/>
  <c r="BB229" i="5"/>
  <c r="BB243" i="5" s="1"/>
  <c r="AB18" i="5"/>
  <c r="AB14" i="5" s="1"/>
  <c r="L10" i="17"/>
  <c r="M10" i="17" s="1"/>
  <c r="C9" i="7"/>
  <c r="D9" i="7" s="1"/>
  <c r="AE81" i="5"/>
  <c r="AU121" i="5"/>
  <c r="BF228" i="5"/>
  <c r="O229" i="5"/>
  <c r="O243" i="5" s="1"/>
  <c r="AO229" i="5"/>
  <c r="AO243" i="5" s="1"/>
  <c r="AZ229" i="5"/>
  <c r="AI232" i="5"/>
  <c r="BH232" i="5"/>
  <c r="N228" i="5"/>
  <c r="BH19" i="5"/>
  <c r="AA79" i="5"/>
  <c r="I82" i="5"/>
  <c r="AY81" i="5"/>
  <c r="AY19" i="5" s="1"/>
  <c r="W103" i="5"/>
  <c r="AU103" i="5"/>
  <c r="AQ121" i="5"/>
  <c r="AA234" i="5"/>
  <c r="AY234" i="5"/>
  <c r="K122" i="5"/>
  <c r="BH122" i="5"/>
  <c r="I167" i="5"/>
  <c r="BC176" i="5"/>
  <c r="BC175" i="5"/>
  <c r="F10" i="6"/>
  <c r="V15" i="5"/>
  <c r="AL228" i="5"/>
  <c r="BE228" i="5"/>
  <c r="BE242" i="5" s="1"/>
  <c r="Z229" i="5"/>
  <c r="Z243" i="5" s="1"/>
  <c r="AH16" i="5"/>
  <c r="AS229" i="5"/>
  <c r="AY18" i="5"/>
  <c r="AQ18" i="5"/>
  <c r="AF18" i="5"/>
  <c r="AF228" i="5" s="1"/>
  <c r="BL19" i="5"/>
  <c r="AU19" i="5"/>
  <c r="AE79" i="5"/>
  <c r="O12" i="6"/>
  <c r="O7" i="6" s="1"/>
  <c r="AA101" i="5"/>
  <c r="AI103" i="5"/>
  <c r="BH103" i="5"/>
  <c r="AM234" i="5"/>
  <c r="BC121" i="5"/>
  <c r="AQ185" i="5"/>
  <c r="AQ176" i="5" s="1"/>
  <c r="AD15" i="5"/>
  <c r="F17" i="6"/>
  <c r="F18" i="6"/>
  <c r="AO228" i="5"/>
  <c r="BF16" i="5"/>
  <c r="AE46" i="5"/>
  <c r="K46" i="5"/>
  <c r="I81" i="5"/>
  <c r="I19" i="5" s="1"/>
  <c r="J79" i="5"/>
  <c r="BC101" i="5"/>
  <c r="AA122" i="5"/>
  <c r="BC142" i="5"/>
  <c r="AQ142" i="5"/>
  <c r="J168" i="5"/>
  <c r="F11" i="6"/>
  <c r="D9" i="17"/>
  <c r="H9" i="17" s="1"/>
  <c r="AL229" i="5"/>
  <c r="R228" i="5"/>
  <c r="R242" i="5" s="1"/>
  <c r="T19" i="5"/>
  <c r="BD18" i="5"/>
  <c r="U48" i="6"/>
  <c r="AU234" i="5"/>
  <c r="AM122" i="5"/>
  <c r="BL122" i="5"/>
  <c r="AE122" i="5"/>
  <c r="AE175" i="5"/>
  <c r="H15" i="5"/>
  <c r="U15" i="5"/>
  <c r="AG15" i="5"/>
  <c r="O15" i="6"/>
  <c r="W57" i="6"/>
  <c r="BD238" i="5"/>
  <c r="AR238" i="5"/>
  <c r="U238" i="5"/>
  <c r="AG238" i="5"/>
  <c r="AN238" i="5"/>
  <c r="AT238" i="5"/>
  <c r="AZ238" i="5"/>
  <c r="U239" i="5"/>
  <c r="AA239" i="5"/>
  <c r="AN239" i="5"/>
  <c r="AT239" i="5"/>
  <c r="AD236" i="5"/>
  <c r="AY239" i="5"/>
  <c r="AZ241" i="5"/>
  <c r="R15" i="5"/>
  <c r="AK239" i="5"/>
  <c r="AQ239" i="5"/>
  <c r="J205" i="5"/>
  <c r="J212" i="5"/>
  <c r="J211" i="5" s="1"/>
  <c r="L15" i="5"/>
  <c r="Y238" i="5"/>
  <c r="AE238" i="5"/>
  <c r="L236" i="5"/>
  <c r="AI236" i="5"/>
  <c r="BH236" i="5"/>
  <c r="AM238" i="5"/>
  <c r="AS238" i="5"/>
  <c r="AS239" i="5"/>
  <c r="AZ239" i="5"/>
  <c r="I32" i="7"/>
  <c r="U14" i="5"/>
  <c r="BJ16" i="5"/>
  <c r="L239" i="5"/>
  <c r="R239" i="5"/>
  <c r="C32" i="7"/>
  <c r="BE14" i="5"/>
  <c r="BE12" i="5" s="1"/>
  <c r="V243" i="5"/>
  <c r="O238" i="5"/>
  <c r="C33" i="17"/>
  <c r="H33" i="17" s="1"/>
  <c r="AM239" i="5"/>
  <c r="AW16" i="5"/>
  <c r="AG239" i="5"/>
  <c r="BC18" i="5"/>
  <c r="H11" i="7"/>
  <c r="I11" i="7" s="1"/>
  <c r="L13" i="17"/>
  <c r="M13" i="17" s="1"/>
  <c r="Z16" i="5"/>
  <c r="AP16" i="5"/>
  <c r="AC228" i="5"/>
  <c r="AC14" i="5"/>
  <c r="AC12" i="5" s="1"/>
  <c r="AT228" i="5"/>
  <c r="AQ19" i="5"/>
  <c r="BG14" i="5"/>
  <c r="AD18" i="5"/>
  <c r="N242" i="5"/>
  <c r="AA46" i="5"/>
  <c r="Y18" i="5"/>
  <c r="Z18" i="5"/>
  <c r="AA47" i="5"/>
  <c r="AA143" i="5"/>
  <c r="AA236" i="5"/>
  <c r="AY143" i="5"/>
  <c r="C17" i="7"/>
  <c r="D17" i="7" s="1"/>
  <c r="D16" i="7"/>
  <c r="H23" i="7"/>
  <c r="I23" i="7" s="1"/>
  <c r="AS228" i="5"/>
  <c r="AS12" i="5"/>
  <c r="M16" i="5"/>
  <c r="M229" i="5"/>
  <c r="M243" i="5" s="1"/>
  <c r="S16" i="5"/>
  <c r="S229" i="5"/>
  <c r="S243" i="5" s="1"/>
  <c r="BL47" i="5"/>
  <c r="BL18" i="5" s="1"/>
  <c r="H18" i="5"/>
  <c r="BC19" i="5"/>
  <c r="AE121" i="5"/>
  <c r="K168" i="5"/>
  <c r="Q228" i="5"/>
  <c r="Q14" i="5"/>
  <c r="AI23" i="5"/>
  <c r="L21" i="17"/>
  <c r="M21" i="17" s="1"/>
  <c r="H20" i="7"/>
  <c r="I20" i="7" s="1"/>
  <c r="L29" i="17"/>
  <c r="M29" i="17" s="1"/>
  <c r="H29" i="7"/>
  <c r="I29" i="7" s="1"/>
  <c r="L30" i="17"/>
  <c r="M30" i="17" s="1"/>
  <c r="C29" i="7"/>
  <c r="D29" i="7" s="1"/>
  <c r="L18" i="17"/>
  <c r="M18" i="17" s="1"/>
  <c r="H17" i="7"/>
  <c r="I17" i="7" s="1"/>
  <c r="H18" i="7"/>
  <c r="I18" i="7" s="1"/>
  <c r="C18" i="7"/>
  <c r="D18" i="7" s="1"/>
  <c r="M14" i="5"/>
  <c r="BF14" i="5"/>
  <c r="AM82" i="5"/>
  <c r="AM19" i="5" s="1"/>
  <c r="AK19" i="5"/>
  <c r="AK229" i="5" s="1"/>
  <c r="AK243" i="5" s="1"/>
  <c r="BH101" i="5"/>
  <c r="AU101" i="5"/>
  <c r="AP228" i="5"/>
  <c r="U19" i="5"/>
  <c r="BA16" i="5"/>
  <c r="BA229" i="5"/>
  <c r="BA243" i="5" s="1"/>
  <c r="AU18" i="5"/>
  <c r="AM101" i="5"/>
  <c r="BL101" i="5"/>
  <c r="AE101" i="5"/>
  <c r="AY101" i="5"/>
  <c r="AY142" i="5"/>
  <c r="AM142" i="5"/>
  <c r="AT16" i="5"/>
  <c r="AT229" i="5"/>
  <c r="BH18" i="5"/>
  <c r="AY232" i="5"/>
  <c r="J81" i="5"/>
  <c r="AQ101" i="5"/>
  <c r="AY121" i="5"/>
  <c r="K142" i="5"/>
  <c r="BE229" i="5"/>
  <c r="BE243" i="5" s="1"/>
  <c r="AB228" i="5"/>
  <c r="T18" i="5"/>
  <c r="I79" i="5"/>
  <c r="AJ19" i="5"/>
  <c r="AJ229" i="5" s="1"/>
  <c r="AW229" i="5"/>
  <c r="S101" i="5"/>
  <c r="K101" i="5"/>
  <c r="BH121" i="5"/>
  <c r="F8" i="6"/>
  <c r="Q7" i="6"/>
  <c r="AX229" i="5"/>
  <c r="I103" i="5"/>
  <c r="BH142" i="5"/>
  <c r="BB228" i="5"/>
  <c r="L229" i="5"/>
  <c r="R229" i="5"/>
  <c r="AR229" i="5"/>
  <c r="AE232" i="5"/>
  <c r="BC232" i="5"/>
  <c r="H9" i="7"/>
  <c r="AI101" i="5"/>
  <c r="AQ234" i="5"/>
  <c r="BL121" i="5"/>
  <c r="AI122" i="5"/>
  <c r="AU145" i="5"/>
  <c r="F9" i="6"/>
  <c r="BF229" i="5"/>
  <c r="BF243" i="5" s="1"/>
  <c r="BF245" i="5" s="1"/>
  <c r="BL175" i="5"/>
  <c r="AY175" i="5"/>
  <c r="AI121" i="5"/>
  <c r="W142" i="5"/>
  <c r="AQ179" i="5"/>
  <c r="AQ175" i="5" s="1"/>
  <c r="AM175" i="5"/>
  <c r="K57" i="6"/>
  <c r="F46" i="6"/>
  <c r="AU232" i="5"/>
  <c r="K103" i="5"/>
  <c r="AI234" i="5"/>
  <c r="J169" i="5"/>
  <c r="J167" i="5" s="1"/>
  <c r="AC58" i="6"/>
  <c r="BA228" i="5"/>
  <c r="BG228" i="5"/>
  <c r="AI19" i="5"/>
  <c r="BG229" i="5"/>
  <c r="BG243" i="5" s="1"/>
  <c r="AI143" i="5"/>
  <c r="S176" i="5"/>
  <c r="AY176" i="5"/>
  <c r="F16" i="6"/>
  <c r="F25" i="6"/>
  <c r="AI176" i="5"/>
  <c r="S57" i="6"/>
  <c r="U57" i="6" s="1"/>
  <c r="AI175" i="5"/>
  <c r="AF15" i="5"/>
  <c r="F24" i="6"/>
  <c r="I205" i="5"/>
  <c r="AR241" i="5"/>
  <c r="AJ239" i="5"/>
  <c r="AK238" i="5"/>
  <c r="AV229" i="5"/>
  <c r="AH229" i="5"/>
  <c r="AH243" i="5" s="1"/>
  <c r="I121" i="5"/>
  <c r="AJ238" i="5"/>
  <c r="I189" i="5"/>
  <c r="AI189" i="5"/>
  <c r="AI239" i="5" s="1"/>
  <c r="J189" i="5"/>
  <c r="J176" i="5"/>
  <c r="I142" i="5"/>
  <c r="J142" i="5"/>
  <c r="AM121" i="5"/>
  <c r="J122" i="5"/>
  <c r="I122" i="5"/>
  <c r="J136" i="5"/>
  <c r="AR228" i="5"/>
  <c r="AV16" i="5"/>
  <c r="I101" i="5"/>
  <c r="AV228" i="5"/>
  <c r="J103" i="5"/>
  <c r="J117" i="5"/>
  <c r="AG229" i="5"/>
  <c r="AF229" i="5"/>
  <c r="AF243" i="5" s="1"/>
  <c r="I46" i="5"/>
  <c r="AR16" i="5"/>
  <c r="AG18" i="5"/>
  <c r="AG228" i="5" s="1"/>
  <c r="AG16" i="5"/>
  <c r="J48" i="5"/>
  <c r="J46" i="5" s="1"/>
  <c r="AF16" i="5"/>
  <c r="J39" i="5"/>
  <c r="Q23" i="6"/>
  <c r="H28" i="7"/>
  <c r="F36" i="17"/>
  <c r="I175" i="5"/>
  <c r="AK228" i="5"/>
  <c r="AJ228" i="5"/>
  <c r="J175" i="5"/>
  <c r="D97" i="4" l="1"/>
  <c r="AF14" i="5"/>
  <c r="E115" i="4"/>
  <c r="E114" i="4" s="1"/>
  <c r="D17" i="4"/>
  <c r="D145" i="4"/>
  <c r="C15" i="4"/>
  <c r="C18" i="4"/>
  <c r="L24" i="17"/>
  <c r="M24" i="17" s="1"/>
  <c r="C39" i="7"/>
  <c r="D39" i="7" s="1"/>
  <c r="M12" i="5"/>
  <c r="AY15" i="5"/>
  <c r="AU15" i="5"/>
  <c r="BC15" i="5"/>
  <c r="AQ14" i="5"/>
  <c r="AY14" i="5"/>
  <c r="BC14" i="5"/>
  <c r="AA238" i="5"/>
  <c r="AQ15" i="5"/>
  <c r="AX228" i="5"/>
  <c r="AX14" i="5"/>
  <c r="AW228" i="5"/>
  <c r="AW14" i="5"/>
  <c r="BD228" i="5"/>
  <c r="BD242" i="5" s="1"/>
  <c r="BD14" i="5"/>
  <c r="AB12" i="5"/>
  <c r="X16" i="5"/>
  <c r="AP243" i="5"/>
  <c r="AN228" i="5"/>
  <c r="AN14" i="5"/>
  <c r="H12" i="7"/>
  <c r="I12" i="7" s="1"/>
  <c r="H10" i="7"/>
  <c r="I10" i="7" s="1"/>
  <c r="S48" i="6"/>
  <c r="S52" i="6" s="1"/>
  <c r="U52" i="6" s="1"/>
  <c r="W48" i="6"/>
  <c r="E7" i="6"/>
  <c r="G7" i="6"/>
  <c r="I31" i="17"/>
  <c r="J31" i="17" s="1"/>
  <c r="AM14" i="5"/>
  <c r="AH14" i="5"/>
  <c r="AH12" i="5" s="1"/>
  <c r="AE15" i="5"/>
  <c r="W15" i="5"/>
  <c r="D44" i="6"/>
  <c r="G37" i="6"/>
  <c r="AD37" i="6"/>
  <c r="E34" i="7"/>
  <c r="D34" i="7"/>
  <c r="S15" i="5"/>
  <c r="J101" i="5"/>
  <c r="AG243" i="5"/>
  <c r="Y16" i="5"/>
  <c r="Y245" i="5" s="1"/>
  <c r="O245" i="5"/>
  <c r="AD229" i="5"/>
  <c r="AD243" i="5" s="1"/>
  <c r="U242" i="5"/>
  <c r="AA48" i="6"/>
  <c r="AA52" i="6" s="1"/>
  <c r="L228" i="5"/>
  <c r="L242" i="5" s="1"/>
  <c r="AI18" i="5"/>
  <c r="AI14" i="5" s="1"/>
  <c r="H14" i="5"/>
  <c r="P228" i="5"/>
  <c r="P242" i="5" s="1"/>
  <c r="V12" i="5"/>
  <c r="BJ12" i="5"/>
  <c r="BJ9" i="5" s="1"/>
  <c r="AO242" i="5"/>
  <c r="AO244" i="5" s="1"/>
  <c r="AA19" i="5"/>
  <c r="AA16" i="5" s="1"/>
  <c r="AX230" i="5"/>
  <c r="O242" i="5"/>
  <c r="W19" i="5"/>
  <c r="W16" i="5" s="1"/>
  <c r="AE142" i="5"/>
  <c r="BB245" i="5"/>
  <c r="AX12" i="5"/>
  <c r="AZ12" i="5"/>
  <c r="AV243" i="5"/>
  <c r="AV245" i="5" s="1"/>
  <c r="AO12" i="5"/>
  <c r="O14" i="5"/>
  <c r="O12" i="5" s="1"/>
  <c r="H39" i="7"/>
  <c r="I39" i="7" s="1"/>
  <c r="V245" i="5"/>
  <c r="K121" i="5"/>
  <c r="AO245" i="5"/>
  <c r="AN243" i="5"/>
  <c r="AU238" i="5"/>
  <c r="AX243" i="5"/>
  <c r="AX245" i="5" s="1"/>
  <c r="S14" i="5"/>
  <c r="N230" i="5"/>
  <c r="U12" i="5"/>
  <c r="AU142" i="5"/>
  <c r="AU228" i="5" s="1"/>
  <c r="W18" i="5"/>
  <c r="W14" i="5" s="1"/>
  <c r="L17" i="17"/>
  <c r="M17" i="17" s="1"/>
  <c r="H16" i="7"/>
  <c r="H15" i="7" s="1"/>
  <c r="I15" i="7" s="1"/>
  <c r="L11" i="17"/>
  <c r="M11" i="17" s="1"/>
  <c r="J121" i="5"/>
  <c r="AN16" i="5"/>
  <c r="AL9" i="5"/>
  <c r="C23" i="7"/>
  <c r="D23" i="7" s="1"/>
  <c r="AE19" i="5"/>
  <c r="AE16" i="5" s="1"/>
  <c r="J19" i="5"/>
  <c r="J16" i="5" s="1"/>
  <c r="AA142" i="5"/>
  <c r="AV230" i="5"/>
  <c r="AX242" i="5"/>
  <c r="AX244" i="5" s="1"/>
  <c r="AZ243" i="5"/>
  <c r="AZ245" i="5" s="1"/>
  <c r="AL230" i="5"/>
  <c r="R12" i="5"/>
  <c r="I15" i="5"/>
  <c r="AZ228" i="5"/>
  <c r="AZ230" i="5" s="1"/>
  <c r="AT12" i="5"/>
  <c r="BE230" i="5"/>
  <c r="AL242" i="5"/>
  <c r="AL244" i="5" s="1"/>
  <c r="J15" i="5"/>
  <c r="F23" i="6"/>
  <c r="X245" i="5"/>
  <c r="AO230" i="5"/>
  <c r="O230" i="5"/>
  <c r="F12" i="6"/>
  <c r="F7" i="6" s="1"/>
  <c r="R243" i="5"/>
  <c r="R245" i="5" s="1"/>
  <c r="BA245" i="5"/>
  <c r="BH229" i="5"/>
  <c r="BH243" i="5" s="1"/>
  <c r="AP12" i="5"/>
  <c r="M230" i="5"/>
  <c r="K15" i="5"/>
  <c r="V242" i="5"/>
  <c r="V244" i="5" s="1"/>
  <c r="AB229" i="5"/>
  <c r="AB243" i="5" s="1"/>
  <c r="AB16" i="5"/>
  <c r="L243" i="5"/>
  <c r="L245" i="5" s="1"/>
  <c r="BF230" i="5"/>
  <c r="X228" i="5"/>
  <c r="X242" i="5" s="1"/>
  <c r="P14" i="5"/>
  <c r="P244" i="5" s="1"/>
  <c r="AL243" i="5"/>
  <c r="AL245" i="5" s="1"/>
  <c r="D8" i="17"/>
  <c r="H8" i="17" s="1"/>
  <c r="AE18" i="5"/>
  <c r="AU229" i="5"/>
  <c r="AU243" i="5" s="1"/>
  <c r="D36" i="17"/>
  <c r="D45" i="17" s="1"/>
  <c r="AY16" i="5"/>
  <c r="AY229" i="5"/>
  <c r="AY243" i="5" s="1"/>
  <c r="K18" i="5"/>
  <c r="AQ12" i="5"/>
  <c r="BL16" i="5"/>
  <c r="H13" i="7"/>
  <c r="I13" i="7" s="1"/>
  <c r="AI229" i="5"/>
  <c r="AI243" i="5" s="1"/>
  <c r="E23" i="4"/>
  <c r="G35" i="7"/>
  <c r="E169" i="4"/>
  <c r="E168" i="4" s="1"/>
  <c r="K30" i="7"/>
  <c r="E146" i="4"/>
  <c r="E145" i="4" s="1"/>
  <c r="D20" i="4"/>
  <c r="E22" i="4"/>
  <c r="D70" i="4"/>
  <c r="D21" i="4"/>
  <c r="D19" i="4"/>
  <c r="D16" i="4"/>
  <c r="D15" i="4" s="1"/>
  <c r="D10" i="4" s="1"/>
  <c r="E163" i="4"/>
  <c r="E162" i="4" s="1"/>
  <c r="H30" i="7"/>
  <c r="I30" i="7" s="1"/>
  <c r="E98" i="4"/>
  <c r="E97" i="4" s="1"/>
  <c r="E72" i="4"/>
  <c r="E70" i="4" s="1"/>
  <c r="K36" i="17"/>
  <c r="J35" i="7"/>
  <c r="O28" i="17"/>
  <c r="O31" i="17"/>
  <c r="K27" i="7"/>
  <c r="L31" i="17"/>
  <c r="M31" i="17" s="1"/>
  <c r="N36" i="17"/>
  <c r="BD229" i="5"/>
  <c r="BD243" i="5" s="1"/>
  <c r="BD245" i="5" s="1"/>
  <c r="AJ16" i="5"/>
  <c r="AG242" i="5"/>
  <c r="AT243" i="5"/>
  <c r="AT245" i="5" s="1"/>
  <c r="BF242" i="5"/>
  <c r="BF244" i="5" s="1"/>
  <c r="BG245" i="5"/>
  <c r="Q245" i="5"/>
  <c r="P245" i="5"/>
  <c r="AR243" i="5"/>
  <c r="AR245" i="5" s="1"/>
  <c r="AB9" i="5"/>
  <c r="BB12" i="5"/>
  <c r="L12" i="5"/>
  <c r="AS243" i="5"/>
  <c r="AS245" i="5" s="1"/>
  <c r="AW12" i="5"/>
  <c r="AH242" i="5"/>
  <c r="AH244" i="5" s="1"/>
  <c r="AW243" i="5"/>
  <c r="AW245" i="5" s="1"/>
  <c r="AR242" i="5"/>
  <c r="AR244" i="5" s="1"/>
  <c r="AJ243" i="5"/>
  <c r="Q12" i="5"/>
  <c r="F37" i="6"/>
  <c r="E37" i="6"/>
  <c r="AD245" i="5"/>
  <c r="N244" i="5"/>
  <c r="AL12" i="5"/>
  <c r="K48" i="6"/>
  <c r="K51" i="6" s="1"/>
  <c r="AM16" i="5"/>
  <c r="AM229" i="5"/>
  <c r="AM243" i="5" s="1"/>
  <c r="AI16" i="5"/>
  <c r="AA18" i="5"/>
  <c r="X14" i="5"/>
  <c r="X12" i="5" s="1"/>
  <c r="T229" i="5"/>
  <c r="T243" i="5" s="1"/>
  <c r="T16" i="5"/>
  <c r="I18" i="5"/>
  <c r="I14" i="5" s="1"/>
  <c r="L244" i="5"/>
  <c r="BD12" i="5"/>
  <c r="AK16" i="5"/>
  <c r="AU16" i="5"/>
  <c r="O48" i="6"/>
  <c r="O51" i="6" s="1"/>
  <c r="K19" i="5"/>
  <c r="K16" i="5" s="1"/>
  <c r="AH245" i="5"/>
  <c r="AK9" i="5"/>
  <c r="F15" i="6"/>
  <c r="BH16" i="5"/>
  <c r="M242" i="5"/>
  <c r="M244" i="5" s="1"/>
  <c r="Z245" i="5"/>
  <c r="AC229" i="5"/>
  <c r="AC243" i="5" s="1"/>
  <c r="AC16" i="5"/>
  <c r="C13" i="7"/>
  <c r="AY228" i="5"/>
  <c r="AY242" i="5" s="1"/>
  <c r="P230" i="5"/>
  <c r="U244" i="5"/>
  <c r="AP245" i="5"/>
  <c r="BA12" i="5"/>
  <c r="R244" i="5"/>
  <c r="M245" i="5"/>
  <c r="C30" i="7"/>
  <c r="D30" i="7" s="1"/>
  <c r="D32" i="7"/>
  <c r="C31" i="17"/>
  <c r="H31" i="17" s="1"/>
  <c r="U229" i="5"/>
  <c r="U16" i="5"/>
  <c r="BG12" i="5"/>
  <c r="BB230" i="5"/>
  <c r="BB242" i="5"/>
  <c r="BB244" i="5" s="1"/>
  <c r="AB242" i="5"/>
  <c r="AB244" i="5" s="1"/>
  <c r="AB230" i="5"/>
  <c r="Q242" i="5"/>
  <c r="Q244" i="5" s="1"/>
  <c r="Q230" i="5"/>
  <c r="AH230" i="5"/>
  <c r="AV9" i="5"/>
  <c r="H12" i="5"/>
  <c r="AI15" i="5"/>
  <c r="R230" i="5"/>
  <c r="S245" i="5"/>
  <c r="Y228" i="5"/>
  <c r="Y14" i="5"/>
  <c r="Y12" i="5" s="1"/>
  <c r="AT242" i="5"/>
  <c r="AT244" i="5" s="1"/>
  <c r="AT230" i="5"/>
  <c r="L28" i="17"/>
  <c r="M28" i="17" s="1"/>
  <c r="BA242" i="5"/>
  <c r="BA244" i="5" s="1"/>
  <c r="BA230" i="5"/>
  <c r="T228" i="5"/>
  <c r="T14" i="5"/>
  <c r="T12" i="5" s="1"/>
  <c r="S228" i="5"/>
  <c r="BF12" i="5"/>
  <c r="AZ242" i="5"/>
  <c r="AZ244" i="5" s="1"/>
  <c r="AS242" i="5"/>
  <c r="AS244" i="5" s="1"/>
  <c r="AS230" i="5"/>
  <c r="C15" i="7"/>
  <c r="D15" i="7" s="1"/>
  <c r="AQ229" i="5"/>
  <c r="AQ243" i="5" s="1"/>
  <c r="AQ16" i="5"/>
  <c r="BC228" i="5"/>
  <c r="AM228" i="5"/>
  <c r="AM242" i="5" s="1"/>
  <c r="L230" i="5"/>
  <c r="AW230" i="5"/>
  <c r="AW242" i="5"/>
  <c r="BC229" i="5"/>
  <c r="BC243" i="5" s="1"/>
  <c r="BC16" i="5"/>
  <c r="AA15" i="5"/>
  <c r="AD228" i="5"/>
  <c r="AD14" i="5"/>
  <c r="AD12" i="5" s="1"/>
  <c r="BG242" i="5"/>
  <c r="BG244" i="5" s="1"/>
  <c r="BG230" i="5"/>
  <c r="I9" i="7"/>
  <c r="AZ9" i="5"/>
  <c r="BL14" i="5"/>
  <c r="BL12" i="5" s="1"/>
  <c r="AP242" i="5"/>
  <c r="AP244" i="5" s="1"/>
  <c r="AP230" i="5"/>
  <c r="W228" i="5"/>
  <c r="AF9" i="5"/>
  <c r="BH228" i="5"/>
  <c r="BH14" i="5"/>
  <c r="Z228" i="5"/>
  <c r="Z14" i="5"/>
  <c r="Z12" i="5" s="1"/>
  <c r="AC242" i="5"/>
  <c r="AK230" i="5"/>
  <c r="AK245" i="5"/>
  <c r="AR230" i="5"/>
  <c r="AV12" i="5"/>
  <c r="AK12" i="5"/>
  <c r="I16" i="5"/>
  <c r="AJ230" i="5"/>
  <c r="AG245" i="5"/>
  <c r="AF245" i="5"/>
  <c r="AN230" i="5"/>
  <c r="AN242" i="5"/>
  <c r="AF12" i="5"/>
  <c r="AV242" i="5"/>
  <c r="AV244" i="5" s="1"/>
  <c r="AG230" i="5"/>
  <c r="AG14" i="5"/>
  <c r="AG12" i="5" s="1"/>
  <c r="J18" i="5"/>
  <c r="AF242" i="5"/>
  <c r="AF230" i="5"/>
  <c r="AR12" i="5"/>
  <c r="AR9" i="5"/>
  <c r="C28" i="7"/>
  <c r="Q48" i="6"/>
  <c r="E23" i="6"/>
  <c r="I28" i="7"/>
  <c r="H27" i="7"/>
  <c r="F45" i="17"/>
  <c r="AQ228" i="5"/>
  <c r="AK242" i="5"/>
  <c r="AK244" i="5" s="1"/>
  <c r="AJ242" i="5"/>
  <c r="AJ244" i="5" s="1"/>
  <c r="AJ12" i="5"/>
  <c r="AJ9" i="5"/>
  <c r="D18" i="4" l="1"/>
  <c r="K14" i="5"/>
  <c r="K35" i="7"/>
  <c r="W12" i="5"/>
  <c r="AN245" i="5"/>
  <c r="W52" i="6"/>
  <c r="AN9" i="5"/>
  <c r="AU14" i="5"/>
  <c r="AU12" i="5" s="1"/>
  <c r="BD230" i="5"/>
  <c r="W229" i="5"/>
  <c r="W243" i="5" s="1"/>
  <c r="X230" i="5"/>
  <c r="S12" i="5"/>
  <c r="AA229" i="5"/>
  <c r="AA243" i="5" s="1"/>
  <c r="AA245" i="5" s="1"/>
  <c r="I36" i="17"/>
  <c r="J36" i="17" s="1"/>
  <c r="J14" i="5"/>
  <c r="AI228" i="5"/>
  <c r="AI242" i="5" s="1"/>
  <c r="AI244" i="5" s="1"/>
  <c r="F34" i="7"/>
  <c r="E30" i="7"/>
  <c r="K12" i="5"/>
  <c r="AY245" i="5"/>
  <c r="P12" i="5"/>
  <c r="P9" i="5" s="1"/>
  <c r="H8" i="7"/>
  <c r="I8" i="7" s="1"/>
  <c r="AE14" i="5"/>
  <c r="AE12" i="5" s="1"/>
  <c r="O244" i="5"/>
  <c r="X9" i="5"/>
  <c r="I16" i="7"/>
  <c r="AU245" i="5"/>
  <c r="X244" i="5"/>
  <c r="AA14" i="5"/>
  <c r="AA12" i="5" s="1"/>
  <c r="L16" i="17"/>
  <c r="M16" i="17" s="1"/>
  <c r="AC230" i="5"/>
  <c r="E44" i="6"/>
  <c r="AE229" i="5"/>
  <c r="AE243" i="5" s="1"/>
  <c r="AE245" i="5" s="1"/>
  <c r="Q52" i="6"/>
  <c r="L9" i="17"/>
  <c r="M9" i="17" s="1"/>
  <c r="I12" i="5"/>
  <c r="J12" i="5" s="1"/>
  <c r="T9" i="5"/>
  <c r="AY230" i="5"/>
  <c r="AB245" i="5"/>
  <c r="BC12" i="5"/>
  <c r="AQ230" i="5"/>
  <c r="AN12" i="5"/>
  <c r="BH245" i="5"/>
  <c r="AJ245" i="5"/>
  <c r="AE228" i="5"/>
  <c r="AE242" i="5" s="1"/>
  <c r="F44" i="6"/>
  <c r="O36" i="17"/>
  <c r="E17" i="4"/>
  <c r="E20" i="4"/>
  <c r="E16" i="4"/>
  <c r="E19" i="4"/>
  <c r="E21" i="4"/>
  <c r="AI245" i="5"/>
  <c r="BD9" i="5"/>
  <c r="AM245" i="5"/>
  <c r="AQ242" i="5"/>
  <c r="AQ244" i="5" s="1"/>
  <c r="AI12" i="5"/>
  <c r="AA228" i="5"/>
  <c r="BD244" i="5"/>
  <c r="AN244" i="5"/>
  <c r="D13" i="7"/>
  <c r="C8" i="7"/>
  <c r="D8" i="7" s="1"/>
  <c r="T245" i="5"/>
  <c r="AC245" i="5"/>
  <c r="L9" i="5"/>
  <c r="W245" i="5"/>
  <c r="AQ245" i="5"/>
  <c r="C36" i="17"/>
  <c r="AY12" i="5"/>
  <c r="Z230" i="5"/>
  <c r="Z242" i="5"/>
  <c r="Z244" i="5" s="1"/>
  <c r="BH12" i="5"/>
  <c r="W242" i="5"/>
  <c r="W244" i="5" s="1"/>
  <c r="W230" i="5"/>
  <c r="BC230" i="5"/>
  <c r="BC242" i="5"/>
  <c r="BC244" i="5" s="1"/>
  <c r="T230" i="5"/>
  <c r="T242" i="5"/>
  <c r="T244" i="5" s="1"/>
  <c r="AU230" i="5"/>
  <c r="AU242" i="5"/>
  <c r="AC249" i="5"/>
  <c r="AC244" i="5"/>
  <c r="BH242" i="5"/>
  <c r="BH244" i="5" s="1"/>
  <c r="BH230" i="5"/>
  <c r="BC245" i="5"/>
  <c r="Y230" i="5"/>
  <c r="Y242" i="5"/>
  <c r="Y244" i="5" s="1"/>
  <c r="AM230" i="5"/>
  <c r="AD242" i="5"/>
  <c r="AD244" i="5" s="1"/>
  <c r="AD230" i="5"/>
  <c r="AW249" i="5"/>
  <c r="AW244" i="5"/>
  <c r="S230" i="5"/>
  <c r="S242" i="5"/>
  <c r="S244" i="5" s="1"/>
  <c r="U243" i="5"/>
  <c r="U245" i="5" s="1"/>
  <c r="U230" i="5"/>
  <c r="AY244" i="5"/>
  <c r="AM9" i="5"/>
  <c r="AM12" i="5"/>
  <c r="AM244" i="5"/>
  <c r="AG244" i="5"/>
  <c r="AG250" i="5"/>
  <c r="AF244" i="5"/>
  <c r="AK249" i="5"/>
  <c r="C27" i="7"/>
  <c r="D28" i="7"/>
  <c r="I27" i="7"/>
  <c r="E18" i="4" l="1"/>
  <c r="E15" i="4"/>
  <c r="E10" i="4" s="1"/>
  <c r="AA230" i="5"/>
  <c r="AE244" i="5"/>
  <c r="H35" i="7"/>
  <c r="I35" i="7" s="1"/>
  <c r="AI230" i="5"/>
  <c r="AU244" i="5"/>
  <c r="F30" i="7"/>
  <c r="E35" i="7"/>
  <c r="F35" i="7" s="1"/>
  <c r="L36" i="17"/>
  <c r="M36" i="17" s="1"/>
  <c r="H36" i="17"/>
  <c r="G37" i="17"/>
  <c r="AE230" i="5"/>
  <c r="AA242" i="5"/>
  <c r="AA244" i="5" s="1"/>
  <c r="E37" i="17"/>
  <c r="F37" i="17"/>
  <c r="C37" i="17"/>
  <c r="C45" i="17"/>
  <c r="H45" i="17" s="1"/>
  <c r="D37" i="17"/>
  <c r="D27" i="7"/>
  <c r="C35" i="7"/>
  <c r="D35" i="7" s="1"/>
</calcChain>
</file>

<file path=xl/sharedStrings.xml><?xml version="1.0" encoding="utf-8"?>
<sst xmlns="http://schemas.openxmlformats.org/spreadsheetml/2006/main" count="2504" uniqueCount="688">
  <si>
    <t>Расчет потребности в средствах краевого бюджета для обеспечения софинансирования федеральных субсидий</t>
  </si>
  <si>
    <t>тыс. руб.</t>
  </si>
  <si>
    <t>Наименование мероприятия</t>
  </si>
  <si>
    <t>Дата и номер Соглашения</t>
  </si>
  <si>
    <t>Код целевой статьи расходов</t>
  </si>
  <si>
    <t>код вида расходов</t>
  </si>
  <si>
    <t>доп код расходов</t>
  </si>
  <si>
    <t>код цели</t>
  </si>
  <si>
    <t>2022 год</t>
  </si>
  <si>
    <t>2022 год ур-нь софинансир</t>
  </si>
  <si>
    <t>Дополнительная потребность в средствах краевого бюджета (+)</t>
  </si>
  <si>
    <t>Поддержка отдельных подотраслей растениеводства и животноводства</t>
  </si>
  <si>
    <t>811</t>
  </si>
  <si>
    <t>краевой бюджет</t>
  </si>
  <si>
    <t>31</t>
  </si>
  <si>
    <t>федеральный бюджет</t>
  </si>
  <si>
    <t>32</t>
  </si>
  <si>
    <t>Субсидии н на возмещение части затрат на поддержку элитного семеноводства и на проведение комплекса агротехнических работ в области развития семеноводства сельскохозяйственных культур</t>
  </si>
  <si>
    <t>14 Б 00 R5081</t>
  </si>
  <si>
    <t>20-55080-00000-00000</t>
  </si>
  <si>
    <t>Субсидии на возмещение части затрат на поддержку собственного производства молока</t>
  </si>
  <si>
    <t>14 Б 00 R5082</t>
  </si>
  <si>
    <t>Субсидии на  возмещение части затрат на племенное маточное поголовье сельскохозяйственных животных и племенных животных-производителей</t>
  </si>
  <si>
    <t>14 Б 00 R5083</t>
  </si>
  <si>
    <t>Субсидии на возмещение части затрат на проведение комплекса агротехнологических работ, повышение уровня экологической безопасности сельскохозяйственного производства, а также на повышение плодородия и качества почв</t>
  </si>
  <si>
    <t>14 Б 00 R5084</t>
  </si>
  <si>
    <t>14 Б 00 R5085</t>
  </si>
  <si>
    <t>Субсидии на возмещение части затрат на развитие северного оленеводства</t>
  </si>
  <si>
    <t>19 3 00 R5086</t>
  </si>
  <si>
    <t>Субсидии на стимулирование развития приоритетных подотраслей агропромышленного комплекса и развитие малых форм хозяйствования</t>
  </si>
  <si>
    <t>812</t>
  </si>
  <si>
    <t>20-55020-00000-00000</t>
  </si>
  <si>
    <t>14 Б 00 R5022</t>
  </si>
  <si>
    <t>Гранты в форме субсидий главам крестьянских (фермерских) хозяйств на финансовое обеспечение затрат на развитие семейных ферм</t>
  </si>
  <si>
    <t>14 5 00 R5023</t>
  </si>
  <si>
    <t>Гранты в форме субсидий сельскохозяйственным потребительским кооперативам на финансовое обеспечение затрат на развитие материально-технической базы</t>
  </si>
  <si>
    <t>14 5 00 R5024</t>
  </si>
  <si>
    <t>Возмещение части процентной ставки по инвестиционным кредитам (займам) в агропромышленном комплексе</t>
  </si>
  <si>
    <t>14 Г 00 R4330</t>
  </si>
  <si>
    <t>20-54330-00000-00000</t>
  </si>
  <si>
    <t>Субсидии на возмещение сельскохозяйственным товаропроизводителям части затрат на уплату процентов по кредитам, полученным в российских кредитных организациях, на развитие товарного осетроводства</t>
  </si>
  <si>
    <t>20-55260-00000-00000</t>
  </si>
  <si>
    <t>Субсидии на создание системы поддержки фермеров и развитие сельской кооперации</t>
  </si>
  <si>
    <t>Гранты «Агростартап» крестьянским (фермерским) хозяйствам</t>
  </si>
  <si>
    <t>20-54800-00000-00000</t>
  </si>
  <si>
    <t>Субсидии сельскохозяйственным потребительским кооперативам на возмещение части затрат, понесенных в текущем финансовом году</t>
  </si>
  <si>
    <t>Субсидии на возмещение части затрат, направленных на производство бобов соевых и (или) семян рапса масличных культур</t>
  </si>
  <si>
    <t>14 Б Т2 52590</t>
  </si>
  <si>
    <t>20-52590-00000-00000</t>
  </si>
  <si>
    <t>Всего по заключенным соглашениям</t>
  </si>
  <si>
    <t>2023 год</t>
  </si>
  <si>
    <t>2023 год ур-нь софинансир</t>
  </si>
  <si>
    <t>Уровень софинансирования 2021 год</t>
  </si>
  <si>
    <t>Уровень софинансирования 2022-2023 год</t>
  </si>
  <si>
    <t>2022 расчет</t>
  </si>
  <si>
    <t>Информация</t>
  </si>
  <si>
    <t>тыс. рублей</t>
  </si>
  <si>
    <t>Направление финансирования</t>
  </si>
  <si>
    <t>уровень бюджета</t>
  </si>
  <si>
    <t>Начислено с начала года</t>
  </si>
  <si>
    <t>Сумма</t>
  </si>
  <si>
    <t xml:space="preserve">% исполнения </t>
  </si>
  <si>
    <t>Государственная программа края "Развитие сельского хозяйства и регулирование рынков сельскохозяйственной продукции, сырья и продовольствия"</t>
  </si>
  <si>
    <t>01</t>
  </si>
  <si>
    <t>02</t>
  </si>
  <si>
    <t>Прямая поддержка отрасли</t>
  </si>
  <si>
    <t>1 Подпрограмма "Развитие отраслей агропромышленного комплекса"</t>
  </si>
  <si>
    <t>соф</t>
  </si>
  <si>
    <t>Субсидии на компенсацию части стоимости элитных и (или) репродукционных, и (или) гибридных семян сельскохозяйственных растений</t>
  </si>
  <si>
    <t>14 Б 00 21720</t>
  </si>
  <si>
    <t>Субсидии на  компенсацию части затрат на производство и реализацию сухого молока и (или) сыра полутвердого, и (или) сыра твердого</t>
  </si>
  <si>
    <t>14 Б 00 21730</t>
  </si>
  <si>
    <t>Субсидии на оказание несвязанной поддержки в области растениеводства государственным и муниципальным предприятиям, сельскохозяйственным товаропроизводителям</t>
  </si>
  <si>
    <t>14 Б 00 21880</t>
  </si>
  <si>
    <t>Субсидии на компенсацию части затрат на приобретение кормов для рыбы</t>
  </si>
  <si>
    <t>14 Б 00 22180</t>
  </si>
  <si>
    <t>Субсидии на компенсацию части затрат на производство и реализацию молока</t>
  </si>
  <si>
    <t>14 Б 00 24050</t>
  </si>
  <si>
    <t>Субсидии на  компенсацию части затрат на приобретение племенного материала разводимых пород, включенных в Государственный реестр селекционных достижений, допущенных к использованию</t>
  </si>
  <si>
    <t>14 Б 00 24220</t>
  </si>
  <si>
    <t>Субсидии на удешевление стоимости семени и жидкого азота, реализованных в крае для искусственного осеменения сельскохозяйственных животных</t>
  </si>
  <si>
    <t>14 Б 00 24240</t>
  </si>
  <si>
    <t>Субсидии на возмещение части  затрат на уплату процентов по кредитным договорам (договорам займа), заключенным с 1 января 2017 года на срок до 2 лет</t>
  </si>
  <si>
    <t>14 Б 00 24300</t>
  </si>
  <si>
    <t>Субсидии на компенсацию части затрат на содержание коров и нетелей крупного рогатого скота</t>
  </si>
  <si>
    <t>14 Б 00 24330</t>
  </si>
  <si>
    <t>Субсидии на компенсацию части затрат на производство и реализацию продукции птицеводства</t>
  </si>
  <si>
    <t>14 Б 00 24360</t>
  </si>
  <si>
    <t>Субсидии на компенсацию части затрат на производство оригинальных и элитных семян зерновых и (или) зернобобовых культур</t>
  </si>
  <si>
    <t>14 Б 00 24390</t>
  </si>
  <si>
    <t>Гранты в форме субсидий сельскохозяйственным научным организациям на финансовое обеспечение затрат на развитие материально-технической базы, необходимой для реализации научных, научно-технических проектов и (или) на поддержку производства, и (или) на реализацию сельскохозяйственной продукции собственного производства</t>
  </si>
  <si>
    <t>14 Б 00 24470</t>
  </si>
  <si>
    <t>14 Б 00 24810</t>
  </si>
  <si>
    <t>Субсидии на возмещение части затрат, направленных на обеспечение прироста собственного производства молока</t>
  </si>
  <si>
    <t>Cубсидии на возмещение части затрат на поддержку собственного производства молока</t>
  </si>
  <si>
    <t xml:space="preserve">Субсидии на возмещение части затрат на племенное маточное поголовье с/х животных, племенных быков-производителей  </t>
  </si>
  <si>
    <t>2 Подпрограмма "Развитие малых форм хозяйствования и сельскохозяйственной кооперации"</t>
  </si>
  <si>
    <t>Субсидии на возмещение части затрат на содержание коров молочного направления продуктивности, находящихся в собственности и (или) пользовании у граждан, ведущих личное подсобное хозяйство, являющихся членами сельскохозяйственного потребительского кооператива</t>
  </si>
  <si>
    <t>14 5 00 22460</t>
  </si>
  <si>
    <t>14 5 00 22470</t>
  </si>
  <si>
    <t>Субсидии на компенсацию части затрат, связанных с  закупом животноводческой продукции (молока, мяса свиней, мяса КРС) у граждан, ведущих ЛПХ на территории края</t>
  </si>
  <si>
    <t>14 5 00 22900</t>
  </si>
  <si>
    <t>Гранты в форме субсидий на финансовое обеспечение затрат на развитие несельскохозяйственных видов деятельности</t>
  </si>
  <si>
    <t>14 5 00 22920</t>
  </si>
  <si>
    <t>14 5 00 22440</t>
  </si>
  <si>
    <t>14 5 00 22480</t>
  </si>
  <si>
    <t>14 5 00 22450</t>
  </si>
  <si>
    <t>3 Подпрограмма "Обеспечение общих условий функционирования отраслей агропромышленного комплекса"</t>
  </si>
  <si>
    <r>
      <t xml:space="preserve">Расходы на проведение противоэпизоотических мероприятий, диагностических исследований инфекционных и инвазионных заболеваний животных, вынужденной и профилактической дезинфекции, дератизации, дезинсекции на территории края  </t>
    </r>
    <r>
      <rPr>
        <b/>
        <sz val="11"/>
        <color rgb="FF996633"/>
        <rFont val="Times New Roman"/>
        <family val="1"/>
        <charset val="204"/>
      </rPr>
      <t>(ветслужба)</t>
    </r>
  </si>
  <si>
    <r>
      <t xml:space="preserve">Расходы на закупку автотранспортных средств, мобильных вагончиков, мебели медицинской и офисной, специализированного оборудования, приборов, инвентаря и бытовой техники для оснащения мобильных вагончиков,  приборов и инструментов для проведения искусственного осеменения сельскохозяйственных животных </t>
    </r>
    <r>
      <rPr>
        <b/>
        <sz val="12"/>
        <color rgb="FF996633"/>
        <rFont val="Times New Roman"/>
        <family val="1"/>
        <charset val="204"/>
      </rPr>
      <t>(ветслужба)</t>
    </r>
  </si>
  <si>
    <t>4 Подпрограмма "Стимулирование инвестиционной деятельности в агропромышленном комплексе"</t>
  </si>
  <si>
    <t>14 Г 00 22820</t>
  </si>
  <si>
    <t>14 Г 00 22860</t>
  </si>
  <si>
    <t>Субсидии на возмещение части затрат на уплату процентов по  кредитным договорам (договорам займа), заключенным с 1 января 2017 года на срок от 2 до 15 лет</t>
  </si>
  <si>
    <t>14 Г 00 22890</t>
  </si>
  <si>
    <t>Субсидии на возмещение части затрат на уплату процентов по инвестиционным кредитам (займам), полученным на строительство, реконструкцию и модернизацию животноводческих комплексов для содержания свиней на срок до 8 лет, а также инвестиционным кредитам (займам), полученным на строительство, реконструкцию и модернизацию животноводческих комплексов (ферм) для содержания крупного рогатого скота на срок до 15 лет</t>
  </si>
  <si>
    <t>14 Г 00 23100</t>
  </si>
  <si>
    <t>Субсидии на возмещение части затрат на уплату процентов по инвестиционным кредитам (займам), полученным на срок до 8 лет, до 10 лет и до 15 лет</t>
  </si>
  <si>
    <t>14 Г 00 23110</t>
  </si>
  <si>
    <t>14 Г 00 23120</t>
  </si>
  <si>
    <t>Субсидии на возмещение части затрат на уплату процентов по инвестиционным кредитам (займам) в агропромышленном комплексе</t>
  </si>
  <si>
    <t>Субсидии на возмещение части затрат на уплату процентов по кредитам, полученным  в российских кредитных организациях, на развитие аквакультуры (рыбоводство) и товарного осетроводства</t>
  </si>
  <si>
    <t>14 Г 00 R5260</t>
  </si>
  <si>
    <t>5 Подпрограмма "Техническая и технологическая модернизация"</t>
  </si>
  <si>
    <t>14 4 00 22330</t>
  </si>
  <si>
    <t>Субсидии на компенсацию части затрат, связанных с проведением капитального ремонта тракторов и (или) их агрегатов</t>
  </si>
  <si>
    <t>14 4 00 22360</t>
  </si>
  <si>
    <t>14 4 00 22800</t>
  </si>
  <si>
    <t>14 4 00 24510</t>
  </si>
  <si>
    <t>Субсидии на компенсацию части затрат на реализацию мероприятий, направленных на увеличение уровня напряжения в точке присоединения энергопринимающих устройств</t>
  </si>
  <si>
    <t>14 4 00 24520</t>
  </si>
  <si>
    <t>14 4 00 24530</t>
  </si>
  <si>
    <t>6 Подпрограмма "Развитие мелиорации земель сельскохозяйственного назначения"</t>
  </si>
  <si>
    <t>7 Подпрограмма "Кадровое обеспечение агропромышленного комплекса"</t>
  </si>
  <si>
    <t>14 6 00 22520</t>
  </si>
  <si>
    <t>14 6 00 22550</t>
  </si>
  <si>
    <t>14 6 00 22560</t>
  </si>
  <si>
    <t>14 6 00 22580</t>
  </si>
  <si>
    <t>14 6 00 24680</t>
  </si>
  <si>
    <r>
      <t xml:space="preserve">Субсидии на цели, не связанные с финансовым обеспечением выполнения государственного задания на оказание государственных услуг (выполнение работ), профессиональным образовательным организациям, осуществляющим подготовку кадров по укрупненным группам профессий и специальностей «Сельское хозяйство и сельскохозяйственные науки», «Промышленная экология и биотехнологии», для приобретения минеральных удобрений, средств химической защиты растений, элитных семян, племенных телок и (или) нетелей молочного направления продуктивности, оленей, изделий автомобильной промышленности, тракторов, сельскохозяйственных машин и оборудования, оборудования технологического для легкой и пищевой промышленности, учебного и лабораторного оборудования, программного обеспечения, в целях укрепления их материально-технической базы </t>
    </r>
    <r>
      <rPr>
        <sz val="12"/>
        <color rgb="FF008080"/>
        <rFont val="Times New Roman"/>
        <family val="1"/>
        <charset val="204"/>
      </rPr>
      <t>(минобразования края)</t>
    </r>
  </si>
  <si>
    <t>7 Подпрограмма "Комплексное развитие сельских территорий"</t>
  </si>
  <si>
    <t>Социальные выплаты на строительство (приобретение) жилья молодым семьям и молодым специалистам, проживающим и работающим на селе либо изъявившим желание переехать на постоянное место жительства в сельскую местность и работать там</t>
  </si>
  <si>
    <t>14 7 00 22610</t>
  </si>
  <si>
    <t>Субсидии сельскохозяйственным товаропроизводителям, за исключением граждан, ведущих ЛПХ, на возмещение части затрат на строительство жилья в сельской местности, предоставляемого по договорам найма жилого помещения гражданам, проживающим и работающим на селе либо изъявившим желание переехать на постоянное место жительства в сельскую местность и работать там</t>
  </si>
  <si>
    <t>14 7 00 22620</t>
  </si>
  <si>
    <t>Социальные выплаты гражданам, постоянно проживающим и работающим в государственных учреждениях ветеринарии края в сельской местности или в городах Крайнего Севера и приравненных к ним местностях, на строительство (приобретение) жилья</t>
  </si>
  <si>
    <t>14 7 00 22650</t>
  </si>
  <si>
    <t xml:space="preserve">Субсидии бюджетам муниципальных образований на предоставление социальных выплат гражданам, проживающим и работающим в сельской местности и являющимся участниками муниципальных программ (подпрограмм муниципальных программ), в том числе молодым семьям и молодым специалистам, проживающим и работающим на селе либо изъявившим желание переехать на постоянное место жительства в сельскую местность и работать там и являющимся участниками муниципальных программ (подпрограмм муниципальных программ), на строительство или приобретение жилья в сельской местности </t>
  </si>
  <si>
    <t>14 7 00 74530</t>
  </si>
  <si>
    <t>8 Подпрограмма "Поддержка садоводства и огородничества"</t>
  </si>
  <si>
    <t>Гранты в форме субсидий некоммерческим товариществам на финансовое обеспечение затрат на реализацию программ развития инфраструктуры территорий некоммерческих товариществ</t>
  </si>
  <si>
    <t>14 Д 00 24400</t>
  </si>
  <si>
    <t>Гранты в форме субсидий некоммерческим товариществам на финансовое обеспечение затрат на приобретение оборудования, строительных материалов и (или) изделий для проведения работ по строительству, и (или) реконструкции, и (или) ремонту дорог и (или) объектов водоснабжения и (или) электросетевого хозяйства в пределах соответствующего некоммерческого товарищества</t>
  </si>
  <si>
    <t>14 Д 00 24420</t>
  </si>
  <si>
    <t>Субсидии бюджетам муниципальных образований края на строительство и (или) реконструкцию, и (или) ремонт  объектов электроснабжения, водоснабжения, находящихся в собственности муниципальных образований, для обеспечения подключения некоммерческих товариществ к источникам электроснабжения, водоснабжения</t>
  </si>
  <si>
    <t>14 Д 00 75750</t>
  </si>
  <si>
    <t>9 Подпрограмма "Обеспечение реализации Государственной программы"</t>
  </si>
  <si>
    <t>Руководство и управление в сфере установленных функций органов государственной власти, в том числе:</t>
  </si>
  <si>
    <t>министерство сельского хозяйства и торговли (грбс - 121)</t>
  </si>
  <si>
    <t>14 8 00 00210</t>
  </si>
  <si>
    <t>служба ветнадзора (грбс-120)</t>
  </si>
  <si>
    <t>служба гостехнадзора (грбс - 069)</t>
  </si>
  <si>
    <t>Обеспечение деятельности (оказание услуг) подведомственных учреждений, в том числе:</t>
  </si>
  <si>
    <t>Подведомственное учреждение (Центр ДИТО МСХ и ГТН (гостехнадзор))</t>
  </si>
  <si>
    <r>
      <rPr>
        <sz val="12"/>
        <rFont val="Times New Roman"/>
        <family val="1"/>
        <charset val="204"/>
      </rPr>
      <t>ветеринарная сеть</t>
    </r>
    <r>
      <rPr>
        <sz val="11"/>
        <rFont val="Times New Roman"/>
        <family val="1"/>
        <charset val="204"/>
      </rPr>
      <t xml:space="preserve"> (ветслужба)</t>
    </r>
  </si>
  <si>
    <r>
      <t>за счет приносящей доход предпринимательской  деятельности</t>
    </r>
    <r>
      <rPr>
        <sz val="11"/>
        <rFont val="Times New Roman"/>
        <family val="1"/>
        <charset val="204"/>
      </rPr>
      <t xml:space="preserve"> (ветслужба)</t>
    </r>
  </si>
  <si>
    <r>
      <t>за счет доходов от сдачи в аренду имущества</t>
    </r>
    <r>
      <rPr>
        <sz val="11"/>
        <rFont val="Times New Roman"/>
        <family val="1"/>
        <charset val="204"/>
      </rPr>
      <t xml:space="preserve"> (ветслужба)</t>
    </r>
  </si>
  <si>
    <t>Расходы на закупку электронно-вычислительной техники, оргтехники, сетевого и серверного оборудования, компьютерного программного обеспечения и услуг по его разработке, модификации, адаптации, тестированию, сопровождению (в том числе технической поддержки) для центрального узла информационного обеспечения агропромышленного комплекса и услуг по обучению специалистов, использующих программное обеспечение</t>
  </si>
  <si>
    <t>14 8 00 22710</t>
  </si>
  <si>
    <t>Расходы на организацию, проведение и участие в краевых, межрегиональных (зональных) и российских конкурсах, выставках, совещаниях и соревнованиях в агропромышленном комплексе</t>
  </si>
  <si>
    <t>14 8 00 22730</t>
  </si>
  <si>
    <t>Расходы на закупку услуг по изданию информационной литературы, производству и размещению информационной полиграфической продукции, освещению в средствах массовой информации состояния и развития агропромышленного комплекса края</t>
  </si>
  <si>
    <t>14 8 00 22740</t>
  </si>
  <si>
    <t>Субвенции бюджетам муниципальных образований на выполнение отдельных государственных полномочий по решению вопросов поддержки с/х производства</t>
  </si>
  <si>
    <t>14 8 00 75170</t>
  </si>
  <si>
    <t>Расходы на реализацию региональной программы Красноярского края "Обеспечение защиты прав потребителей"</t>
  </si>
  <si>
    <t>14 8 00 22720</t>
  </si>
  <si>
    <t xml:space="preserve">Субвенция бюджету Эвенкийского муниципального района на осуществление органами местного самоуправления отдельных государственных полномочий по лицензированию розничной продажи алкогольной продукции (в соответствии с Законом края от 7 февраля 2008 года N 4-1254) </t>
  </si>
  <si>
    <t>14 8 00 75120</t>
  </si>
  <si>
    <t xml:space="preserve">Свод расходов </t>
  </si>
  <si>
    <t>министерство сельского хозяйства и торговли края</t>
  </si>
  <si>
    <t>Содержание расходного обязательства (конкретное направление использования бюджетных средств)</t>
  </si>
  <si>
    <t>раздел</t>
  </si>
  <si>
    <t>целевая статья</t>
  </si>
  <si>
    <t>вид расхода</t>
  </si>
  <si>
    <t>статья по эк. клас-ции</t>
  </si>
  <si>
    <t>тип счета</t>
  </si>
  <si>
    <t>Аналитический код цели</t>
  </si>
  <si>
    <t>Всего</t>
  </si>
  <si>
    <t>Предусмотрено на год</t>
  </si>
  <si>
    <t>Разница</t>
  </si>
  <si>
    <t>Фактически профинасировано</t>
  </si>
  <si>
    <t>корректир-ка ГП</t>
  </si>
  <si>
    <t>Итого роспись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</si>
  <si>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</si>
  <si>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</si>
  <si>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</si>
  <si>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</si>
  <si>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</si>
  <si>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</si>
  <si>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</si>
  <si>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</si>
  <si>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</si>
  <si>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</si>
  <si>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</si>
  <si>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</si>
  <si>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 xml:space="preserve">план </t>
  </si>
  <si>
    <t>утвержден лимит</t>
  </si>
  <si>
    <t>факт</t>
  </si>
  <si>
    <t>непрофинанс утвержд лимита</t>
  </si>
  <si>
    <t xml:space="preserve">утвержден лимит </t>
  </si>
  <si>
    <t>непрофинанс начисление</t>
  </si>
  <si>
    <t>край</t>
  </si>
  <si>
    <t>Итого по Государственным программам ЗА СЧЕТ СРЕДСТВ КРАЕВОГО БЮДЖЕТА</t>
  </si>
  <si>
    <t>Всего по ГП "Развитие сельского хозяйства и регулирование рынков сельскохозяйственной продукции, сырья и продовольствия" ЗА СЧЕТ СРЕДСТВ КРАЕВОГО БЮДЖЕТА</t>
  </si>
  <si>
    <t>КРАЕВОЙ БЮДЖЕТ 1 Подпрограмма "Развитие отраслей агропромышленного комплекса" (01)</t>
  </si>
  <si>
    <t>Всего по ГП "Развитие сельского хозяйства и регулирование рынков сельскохозяйственной продукции, сырья и продовольствия" ЗА СЧЕТ СРЕДСТВ ФЕДЕРАЛЬНОГО БЮДЖЕТА</t>
  </si>
  <si>
    <t>КРАЕВОЙ БЮДЖЕТ 1 Подпрограмма "Развитие отраслей агропромышленного комплекса"</t>
  </si>
  <si>
    <t>ФЕДЕРАЛЬНЫЙ  БЮДЖЕТ 1 Подпрограмма "Развитие отраслей агропромышленного комплекса"</t>
  </si>
  <si>
    <t>0405</t>
  </si>
  <si>
    <t>244</t>
  </si>
  <si>
    <t>245</t>
  </si>
  <si>
    <t>813</t>
  </si>
  <si>
    <t>24А</t>
  </si>
  <si>
    <t xml:space="preserve">Субсидии на компенсацию части затрат на производство и реализацию молока </t>
  </si>
  <si>
    <t>249</t>
  </si>
  <si>
    <t>14 Б 0024300</t>
  </si>
  <si>
    <t>613</t>
  </si>
  <si>
    <t>241</t>
  </si>
  <si>
    <t>КРАЕВОЙ БЮДЖЕТ 2 Подпрограмма "Развитие малых форм хозяйствования и сельскохозяйственной кооперации"</t>
  </si>
  <si>
    <t>ФЕДЕРАЛЬНЫЙ БЮДЖЕТ 2 Подпрограмма "Развитие малых форм хозяйствования и сельскохозяйственной кооперации"</t>
  </si>
  <si>
    <t>246</t>
  </si>
  <si>
    <t>Гранты в форме субсидий на развитие несельскохозяйственных видов деятельности</t>
  </si>
  <si>
    <t>КРАЕВОЙ БЮДЖЕТ 3 Подпрограмма "Стимулирование инвестиционной деятельности в агропромышленном комплексе"</t>
  </si>
  <si>
    <t>ФЕДЕРАЛЬНЫЙ БЮДЖЕТ 3 Подпрограмма "Стимулирование инвестиционной деятельности в агропромышленном комплексе"</t>
  </si>
  <si>
    <t xml:space="preserve">Субсидии на возмещение части затрат на уплату процентов по  кредитным договорам (договорам займа), заключенным с 1 января 2017 года на срок от 2 до 15 лет
</t>
  </si>
  <si>
    <t>КРАЕВОЙ БЮДЖЕТ 4 Подпрограмма "Техническая и технологическая модернизация"</t>
  </si>
  <si>
    <t xml:space="preserve">14 4 00 22310 </t>
  </si>
  <si>
    <t>310</t>
  </si>
  <si>
    <t>КРАЕВОЙ БЮДЖЕТ 5 Подпрограмма "Развитие мелиорации земель сельскохозяйственного назначения"</t>
  </si>
  <si>
    <t>ФЕДЕРАЛЬНЫЙ БЮДЖЕТ 5 Подпрограмма "Развитие мелиорации земель сельскохозяйственного назначения"</t>
  </si>
  <si>
    <t>04</t>
  </si>
  <si>
    <t>522 11 00</t>
  </si>
  <si>
    <t>Оплата услуг по проведению лекций, семинаров,  дополнительного профессионального образования рабочих, служащих сельскохозяйственных товаропроизводителей, вновь созданных сельскохозяйственных товаропроизводителей и организаций агропромышленного комплекса организациям, осуществляющим образовательную деятельность по дополнительным профессиональным программам</t>
  </si>
  <si>
    <t>226</t>
  </si>
  <si>
    <t>1003</t>
  </si>
  <si>
    <t>313</t>
  </si>
  <si>
    <t>262</t>
  </si>
  <si>
    <t>321</t>
  </si>
  <si>
    <t>КРАЕВОЙ БЮДЖЕТ 7 Подпрограмма "Устойчивое развитие сельских территорий"</t>
  </si>
  <si>
    <t>ФЕДЕРАЛЬНЫЙ БЮДЖЕТ 5 Подпрограмма "Устойчивое развитие сельских территорий"</t>
  </si>
  <si>
    <t>8.  Подпрограмма "Поддержка садоводства, огородничества и дачного хозяйства"</t>
  </si>
  <si>
    <t>0505</t>
  </si>
  <si>
    <t>9. Обеспечение реализации государственной программы и прочие мероприятия</t>
  </si>
  <si>
    <t>Руководство и управление в сфере установленных функций органов государственной власти, в том числе министерство сельского хозяйства</t>
  </si>
  <si>
    <t>Субвенции бюджетам муниципальных районов на выполнение отдельных государственных полномочий по решению вопросов поддержки с/х производства</t>
  </si>
  <si>
    <t>0412</t>
  </si>
  <si>
    <t>лицевой счет            03192А35721</t>
  </si>
  <si>
    <t>КП 0405 (нашего отдела)</t>
  </si>
  <si>
    <t>по краевому бюджету</t>
  </si>
  <si>
    <t>по федеральному бюджету</t>
  </si>
  <si>
    <t>всего</t>
  </si>
  <si>
    <t>лицевой счет МБТ  03192А35720</t>
  </si>
  <si>
    <t>КП торговля</t>
  </si>
  <si>
    <t>КП контракты + аппарат (бухгалтерия)</t>
  </si>
  <si>
    <t>КП жилье</t>
  </si>
  <si>
    <t>садоводы</t>
  </si>
  <si>
    <t>общее КП</t>
  </si>
  <si>
    <t>ПРОВЕРКА</t>
  </si>
  <si>
    <t>Доведен лимит</t>
  </si>
  <si>
    <t xml:space="preserve">Разница от лимита </t>
  </si>
  <si>
    <t>план МСХ</t>
  </si>
  <si>
    <t>План на год</t>
  </si>
  <si>
    <t>Фактически профинансировано, руб.</t>
  </si>
  <si>
    <t>разница</t>
  </si>
  <si>
    <t xml:space="preserve">май </t>
  </si>
  <si>
    <t>план в МСХ</t>
  </si>
  <si>
    <t>Поддержка отдельных подотраслей растениеводства и животноводства, а также сельскохозяйственного страхования</t>
  </si>
  <si>
    <t>элита</t>
  </si>
  <si>
    <t>собственного производства молока</t>
  </si>
  <si>
    <t>содержание племенного маточного</t>
  </si>
  <si>
    <t>несвязанная поддержка</t>
  </si>
  <si>
    <t>развитие северного оленеводства</t>
  </si>
  <si>
    <t>прирост собственного производства молока</t>
  </si>
  <si>
    <t>гранты главам крестьянских (фермерских) хозяйств на развитие семейных ферм</t>
  </si>
  <si>
    <t>гранты СПоК на развитие материально-технической базы</t>
  </si>
  <si>
    <t>Возмещение части процентной ставки по инвестиционным кредитам (займам), полученным на развитие АПК</t>
  </si>
  <si>
    <t xml:space="preserve">гранты «Агростартап» </t>
  </si>
  <si>
    <t>субсидии СПоК</t>
  </si>
  <si>
    <t>Итого</t>
  </si>
  <si>
    <t>14 Г 00  R5260</t>
  </si>
  <si>
    <t>ПОФ доведенный МСХ</t>
  </si>
  <si>
    <t>остаток ПОФ</t>
  </si>
  <si>
    <t>ПОФ Росрыболовство</t>
  </si>
  <si>
    <t>лицевой счет  03192003660</t>
  </si>
  <si>
    <t xml:space="preserve">Субсидии на возмещение части затрат на строительство и (или) реконструкцию животноводческих объектов для производства молока </t>
  </si>
  <si>
    <t>Социальные выплаты на строительство (приобретение) жилья гражданам, проживающим на сельских территориях</t>
  </si>
  <si>
    <t>Гранты в форме субсидий главам крестьянских (фермерских) хозяйств или индивидуальным предпринимателям, являющимся сельскохозяйственными товаропроизводителями, на финансовое обеспечение затрат на развитие семейных ферм</t>
  </si>
  <si>
    <t>Субсидии на возмещение части прямых понесенных затрат на создание и (или) модернизацию объектов агропромышленного комплекса, на приобретение племенного материала, специализированного и технологического оборудования, сельскохозяйственной техники, автомобильного транспорта, на подключение (технологическое присоединение) к сетям инженерно-технического обеспечения в рамках реализации приоритетных инвестиционных проектов в агропромышленном комплексе</t>
  </si>
  <si>
    <t>Расходы на приобретение изделий автомобильной промышленности, тракторов, сельскохозяйственных машин, оборудования и (или) линий, предназначенных для производства молочной продукции, и племенных сельскохозяйственных животных для передачи в федеральную собственность для нужд учреждений системы исполнения наказаний</t>
  </si>
  <si>
    <t>Субсидии на возмещение части затрат, связанных с приобретением оборудования для цифровизации и автоматизации процессов производства продукции растенивеводства и (или) животноводства и (или) программного обеспечения</t>
  </si>
  <si>
    <t>Оплата услуг по проведению лекций, семинаров, дополнительному профессиональному образованию работников сельскохозяйственных товаропроизводителей, вновь созданных сельскохозяйственных товаропроизводителей, организаций агропромышленного комплекса, государственных и муниципальных предприятий, преподавателей, мастеров производственного обучения сельскохозяйственных образовательных организаций и муниципальных служащих</t>
  </si>
  <si>
    <r>
      <t xml:space="preserve">Гранты в форме субсидий общеобразовательным организациям на финансовое обеспечение затрат, связанных с реализацией образовательных программ в области агротехнического образования  в сетевой форме </t>
    </r>
    <r>
      <rPr>
        <sz val="12"/>
        <color theme="3" tint="0.39997558519241921"/>
        <rFont val="Times New Roman"/>
        <family val="1"/>
        <charset val="204"/>
      </rPr>
      <t>(минобразования края)</t>
    </r>
  </si>
  <si>
    <t>Субсидии на возмещение части затрат на уплату страховых премий, начисленных по договорам сельскохозяйственного страхования в области животноводств, растениеводства и аквакультуры(рыбоводства)</t>
  </si>
  <si>
    <t>Социальные выплаты на обустройство молодым специалистам, молодым рабочим, гражданам</t>
  </si>
  <si>
    <t>Субсидии на возмещение фактически понесенных затрат по заключенным с работниками ученическим договорам и по заключенным договорам о целевом обучении с гражданами Российской Федерации, проходящими профессиональное обучение</t>
  </si>
  <si>
    <t>Субсидии на возмещение фактически понесенных затрат, связанных с оплатой труда и проживанием студентов - граждан Российской Федерации, профессионально обучающихся, привлеченных для прохождения производственной практики</t>
  </si>
  <si>
    <t>Субсидии на обеспечение комплексного развития сельских территорий</t>
  </si>
  <si>
    <t>Субсидии  на возмещение фактически понесенных затрат по заключенным с работниками ученическим договорам и по заключенным договорам о целевом обучении с гражданами Российской Федерации, проходящими профессиональное обучение</t>
  </si>
  <si>
    <t>Субсидии бюджетам муниципальных образований на благоустройство сельских территорий по направлениям, соответствующим правилам благоустройства территорий</t>
  </si>
  <si>
    <t>Cубсидии на возмещение части затрат на поддержку элитного семеноводства и на проведение агротехнических работ в области семеноводства сельскохозяйственных культур</t>
  </si>
  <si>
    <t>Субсидии на возмещение части затрат на проведение агротехнологических работ, повышение уровня экологической безопасности сельскохозяйственного производства, а также на повышение плодородия и качества почв</t>
  </si>
  <si>
    <t>Субсидии на компенсацию части затрат на производство и реализацию муки, и (или) крупы, и (или) макаронных изделий</t>
  </si>
  <si>
    <t xml:space="preserve">Субсидии на возмещение части затрат на уплату процентов по инвестиционным кредитам, полученным на срок до 10 лет </t>
  </si>
  <si>
    <t xml:space="preserve">Субсидии на возмещение части затрат на уплату процентов по инвестиционным  кредитам, полученным на срок до 10 лет </t>
  </si>
  <si>
    <t>14 Г 00 23130</t>
  </si>
  <si>
    <t>Субсидии на компенсацию части затрат, связанных с оплатой первоначального (авансового) лизингового взноса, очередных лизинговых или арендных платежей</t>
  </si>
  <si>
    <t>14 4 00 22320</t>
  </si>
  <si>
    <t xml:space="preserve">Социальная выплата работникам сельскохозяйственных товаропроизводителей, вновь созданных сельскохозяйственных товаропроизводителей, сельскохозяйственных научных организаций на компенсацию затрат, связанных с получением ими высшего образования по очно-заочной, заочной форме обучения по специальности, направлению подготовки, соответствующим их трудовой функции </t>
  </si>
  <si>
    <t>Субсидии на компенсацию части затрат, связанных с дополнительным профессиональным образованием работников в организациях, осуществляющих образовательную деятельность по дополнительным профессиональным программам, расположенных на территории Российской Федерации</t>
  </si>
  <si>
    <t>Субсидии сельскохозяйственным товаропроизводителям, вновь созданным сельскохозяйственным товаропроизводителям на компенсацию части затрат, связанных с дополнительным профессиональным образованием работников в организациях, осуществляющих образовательную деятельность по дополнительным профессиональным программам, расположенных на территории Российской Федерации</t>
  </si>
  <si>
    <t xml:space="preserve">Социальные выплаты на обустройство молодым специалистам, молодым рабочим, гражданам </t>
  </si>
  <si>
    <t>Субсидии сельскохозяйственным товаропроизводителям, вновь созданным сельскохозяйственным товаропроизводителям на возмещение части затрат, связанных с выплатой заработной платы молодому специалисту, студентам, в случае их трудоустройства по срочному трудовому договору в период прохождения практической подготовки</t>
  </si>
  <si>
    <t>14 7 00 R5764</t>
  </si>
  <si>
    <t>14 7 00 R5762</t>
  </si>
  <si>
    <t>14 7 00 R5761</t>
  </si>
  <si>
    <t>24B</t>
  </si>
  <si>
    <t>24В</t>
  </si>
  <si>
    <t>631</t>
  </si>
  <si>
    <t>на производство и реализацию  мяса кур мясных пород</t>
  </si>
  <si>
    <t xml:space="preserve">Субсидии на компенсацию части затрат на производство и реализацию продукции птицеводства </t>
  </si>
  <si>
    <t>633</t>
  </si>
  <si>
    <t>632</t>
  </si>
  <si>
    <t>Субсидии на возмещение части затрат на уплату страховых премий, начисленных по договорам сельскохозяйственного страхования в области растениеводства, и (или) животноводства, и (или) товарной аквакультуры (товарного рыбоводства)</t>
  </si>
  <si>
    <t>на производство и реализацию яиц</t>
  </si>
  <si>
    <t xml:space="preserve">Субсидии на возмещение части затрат на приобретение племенных нетелей и (или) племенных коров, и (или) молодняка крупного рогатого скота для их последующей передачи в собственность граждан, ведущих личное подсобное хозяйство на территории края, являющихся членами сельскохозяйственного потребительского кооператива </t>
  </si>
  <si>
    <t>Гранты в форме субсидий на финансовое обеспечение затрат на  развитие сельскохозяйственных потребительских кооперативов</t>
  </si>
  <si>
    <t>Гранты в форме субсидий на финансовое обеспечение затрат на развитие сельскохозяйственных потребительских кооперативов</t>
  </si>
  <si>
    <t>Гранты в форме субсидий «Агростартап» крестьянским (фермерским) хозяйствам или индивидуальным предпринимателям, основным видом деятельности которых является производство или переработка сельскохозяйственной продукции, на финансовое обеспечение затрат, связанных с реализацией проекта создания и (или) развития хозяйства</t>
  </si>
  <si>
    <t xml:space="preserve">Cубсидии центру компетенций в сфере сельскохозяйственной кооперации и поддержки фермеров на финасовое обеспечение затрат, связанных с осуществлением его деятельности, с оказанием консультационных услуг </t>
  </si>
  <si>
    <t>Субсидии на компенсацию части затрат, связанных с оплатой первоначального (авансового) лизингового взноса, произведенного с 1 января 2018 года по заключенным договорам лизинга (сублизинга)</t>
  </si>
  <si>
    <t>Субсидии на компенсацию части затрат, связанных с приобретением машин и оборудования для пищевой, перерабатывающей и элеваторной промышленности, модульных объектов,  сельскохозяйственных машин и оборудования для производства оригинальных и элитных семян сельскохозяйственных культур, оборудования для доения коров</t>
  </si>
  <si>
    <t>Субсидии на возмещение (финансовое обеспечение) части затрат на строительство заготовительных пунктов, включая затраты на приобретение технологического оборудования для переработки сельскохозяйственной, лесной продукции</t>
  </si>
  <si>
    <t xml:space="preserve">Субсидии на возмещение (финансовое обеспечение) части затрат на строительство заготовительных пунктов, включая затраты на приобретение технологического оборудования для переработки сельскохозяйственной, лесной продукции </t>
  </si>
  <si>
    <t>с/х страхование в растениеводстве, животноводстве, аквакультуре</t>
  </si>
  <si>
    <t>жилье гражданам</t>
  </si>
  <si>
    <t>ученические договора</t>
  </si>
  <si>
    <t>ОТ студентов</t>
  </si>
  <si>
    <t>благоустройство сельских территорий</t>
  </si>
  <si>
    <t>14 5 I5 54801</t>
  </si>
  <si>
    <t>14 5 I5 54802</t>
  </si>
  <si>
    <t>Социальные выплаты на строительство (приобретение) жилья граждан, проживающим на сельских территориях</t>
  </si>
  <si>
    <t>Субсидии на возмещение части затрат, связанных с закупкой продовольственной продукции</t>
  </si>
  <si>
    <t xml:space="preserve">Иные межбюджетные трансферты бюджетам муниципальных районов Красноярского края, реализующих муниципальные программы, направленные на развитие сельских территорий </t>
  </si>
  <si>
    <t>Информация о доведении субсидий на условиях софинансирования из федерального и краевого бюджетов</t>
  </si>
  <si>
    <t>Наименование государственной поддержки</t>
  </si>
  <si>
    <t xml:space="preserve">Средства федерального бюджета </t>
  </si>
  <si>
    <t xml:space="preserve">Средства краевого бюджета </t>
  </si>
  <si>
    <t>Лимиты бюджетных обязательств</t>
  </si>
  <si>
    <t>% начисления от лимита</t>
  </si>
  <si>
    <t>Доведено до получателей</t>
  </si>
  <si>
    <t>% доведения средств до получателей</t>
  </si>
  <si>
    <t>По соглашениям, заключенным с Минсельхозом России</t>
  </si>
  <si>
    <t>Субсидии на поддержку отдельных подотраслей растениеводства и животноводства</t>
  </si>
  <si>
    <t>производство молока</t>
  </si>
  <si>
    <t>содержание племенного поголовья</t>
  </si>
  <si>
    <t>северное оленеводство</t>
  </si>
  <si>
    <t>Субсидии на стимулирование развития приоритетных подотраслей АПК и развитие малых форм хозяйствования</t>
  </si>
  <si>
    <t>прирост производства молока</t>
  </si>
  <si>
    <t>гранты КФХ на развитие семейных ферм</t>
  </si>
  <si>
    <t>Субсидии на создание системы поддержки фермеров и
развитие сельской кооперации</t>
  </si>
  <si>
    <t>По соглашению, заключенному с Росрыболовством</t>
  </si>
  <si>
    <t xml:space="preserve">с/х страхование </t>
  </si>
  <si>
    <t>строит-во жилья гражданами</t>
  </si>
  <si>
    <t>зар плата студентов</t>
  </si>
  <si>
    <t>14 Б 00 24350</t>
  </si>
  <si>
    <t>14 5 00 22250</t>
  </si>
  <si>
    <t>КП  инвест</t>
  </si>
  <si>
    <t>0709</t>
  </si>
  <si>
    <t>14 7 00 74110</t>
  </si>
  <si>
    <t>1403</t>
  </si>
  <si>
    <t>540</t>
  </si>
  <si>
    <t>в области растениеводства</t>
  </si>
  <si>
    <t>в области животноводства</t>
  </si>
  <si>
    <t>Субсидии на возмещение части затрат, направленных на производство масличных культур</t>
  </si>
  <si>
    <t>-</t>
  </si>
  <si>
    <t>Корректировка бюджета</t>
  </si>
  <si>
    <t>Иные межбюджетные трансферты в целях софинансирования расходных обязательств субъектов Российской Федерации на предоставление субсидии на возмещение части затрат на производство и реализацию зерновых культур</t>
  </si>
  <si>
    <t>Субсидии на возмещение части затрат на производство и реализацию зерновых культур</t>
  </si>
  <si>
    <t>14 5 00 R5026</t>
  </si>
  <si>
    <t>Субсидии на возмещение части затрата на переработку молока сырого крупного рогатого скота, козьего и овечьего на пищевую продукцию</t>
  </si>
  <si>
    <t>Наименование результата</t>
  </si>
  <si>
    <t>2024 год</t>
  </si>
  <si>
    <t>Площадь закладки многолетних насаждений в сельскохозяйственных организациях, крестьянских (фермерских) хозяйствах и у индивидуальных предпринимателей (тыс. га)</t>
  </si>
  <si>
    <t xml:space="preserve">Прирост объема молока сырого крупного рогатого скота, козьего и овечьего, переработанного на пищевую продукцию, за отчетный год по отношению к предыдущему году </t>
  </si>
  <si>
    <t xml:space="preserve">Доля площади, засеваемой элитными семенами, в общей площади посевов, занятой семенами сортов растений </t>
  </si>
  <si>
    <t xml:space="preserve">Производство молока в сельскохозяйственных организациях, крестьянских (фермерских) хозяйствах, включая индивидуальных предпринимателей </t>
  </si>
  <si>
    <t xml:space="preserve">Численность племенного маточного поголовья сельскохозяйственных животных (в пересчете на условные головы) </t>
  </si>
  <si>
    <t xml:space="preserve">Численность племенных быков-производителей, оцененных по качеству потомства или находящихся в процессе оценки этого качества </t>
  </si>
  <si>
    <t xml:space="preserve">Валовой сбор картофеля в сельскохозяйственных организациях, крестьянских (фермерских) хозяйствах, включая индивидуальных предпринимателей </t>
  </si>
  <si>
    <t xml:space="preserve">Валовой сбор овощей открытого грунта в сельскохозяйственных организациях, крестьянских (фермерских) хозяйствах, включая индивидуальных предпринимателей </t>
  </si>
  <si>
    <t>Размер посевных площадей, занятых зерновыми, зернобобовыми, масличными (за исключением рапса и сои) и кормовыми сельскохозяйственными культурами в сельскохозяйственных организациях, крестьянских (фермерских) хозяйствах, включая  индивидуальных предпринимателей, в субъекте Российской Федерации</t>
  </si>
  <si>
    <t xml:space="preserve">Доля застрахованного поголовья сельскохозяйственных животных в общем поголовье сельскохозяйственных животных </t>
  </si>
  <si>
    <t xml:space="preserve">Доля застрахованной посевной (посадочной) площади в общей посевной (посадочной) площади (в условных единицах площади) </t>
  </si>
  <si>
    <t xml:space="preserve">Численность поголовья северных оленей в сельскохозяйственных организациях, крестьянских (фермерских) хозяйствах, включая индивидуальных предпринимателей </t>
  </si>
  <si>
    <t>Субсидии на возмещение части затрат на уплату страховых премий, начисленных по договорам сельскохозяйственного страхования в области животноводств, растениеводства и аквакультуры (рыбоводства)</t>
  </si>
  <si>
    <t>Предусмот-рено соглашением</t>
  </si>
  <si>
    <t>14 Б I5 54801</t>
  </si>
  <si>
    <t>14 Б I5 54802</t>
  </si>
  <si>
    <t>уточненный план</t>
  </si>
  <si>
    <t>14 Б 00 R3580</t>
  </si>
  <si>
    <t>Субсидии на возмещение части затрат на реализацию проектов мелиорации в рамках гидромелиоративных мероприятий по строительству оросительных и осушительных систем общего и индивидуального пользования и отдельно расположенных гидротехнических сооружений, а также рыбоводных прудов</t>
  </si>
  <si>
    <t>Справочно: на аналогичную дату 2021 года</t>
  </si>
  <si>
    <t>14 Б 00 R5026</t>
  </si>
  <si>
    <t>Субсидии на возмещение части затрат на закладку и (или) уход за многолетними насаждениями</t>
  </si>
  <si>
    <t xml:space="preserve">Субсидии на возмещение части  затрат, связанных с перевозкой продовольственной продукции внутренним водным транспортом в районы Крайнего Севера и приравненные к ним местности Красноярского края </t>
  </si>
  <si>
    <t>14 Б 00 24070</t>
  </si>
  <si>
    <t>Субсидии на компенсацию части затрат, связанных с оплатой первоначального (авансового) лизингового взноса, произведенного с 1 января 2022 года по заключенным договорам лизинга (сублизинга)</t>
  </si>
  <si>
    <t>14 4 00 24540</t>
  </si>
  <si>
    <t>14 4 00 22370</t>
  </si>
  <si>
    <t>Грант в форме субсидий образовательным организациям высшего образования на финансовое обеспечение затрат на осуществление деятельности, связанной с производством с/х продукции, и на развитие профессиональной подготовки студентов в области агропромышленного комплекса</t>
  </si>
  <si>
    <t>14 А 00 R5982</t>
  </si>
  <si>
    <t>14 А 00 R5981</t>
  </si>
  <si>
    <t>Расходы на закупку услуг по изготовлению информационных материалов и видеороликов о современном развитии агропромышленного комплекса,преимущества жизни и работы на сельских территориях</t>
  </si>
  <si>
    <t>14 6 00 24650</t>
  </si>
  <si>
    <t>14 8 00 22750</t>
  </si>
  <si>
    <t>Расходы на организацию и проведение выставок, краевых конкурсов и совещаний в области торговой деятельности</t>
  </si>
  <si>
    <t>Субсидии на возмещение (финансовое обеспечение) части затрат, связанных с приобретением новых машин и оборудования для сельского хозяйства</t>
  </si>
  <si>
    <t>0406</t>
  </si>
  <si>
    <t>0407</t>
  </si>
  <si>
    <t>Код бюджетной классификации</t>
  </si>
  <si>
    <t xml:space="preserve">прирост производства молока в сельскохозяйственных организациях, крестьянских (фермерских) хозяйствах и у индивидуальных предпринимателей за отчетный год по отношению к среднему за 5 лет, предшествующих текущему финансовому году, объему производства молока (тыс. тонн).
</t>
  </si>
  <si>
    <t>Гранты в форме субсидий главам крестьянских (фермерских) хозяйств или индивидуальным предпринимателям, являющимся сельскохозяйственными товаропроизводителями,  на финансовое обеспечение затрат на развитие семейных ферм</t>
  </si>
  <si>
    <t xml:space="preserve">Количество проектов грантополучателей, реализуемых с помощью грантовой поддержки на развитие семейных ферм и гранта "Агропрогресс", обеспечивающих прирост объема производства сельскохозяйственной продукции в отчетном году по отношению к предыдущему году не менее чем на 8 процентов (единиц);
</t>
  </si>
  <si>
    <t>14 Б 00 R5023</t>
  </si>
  <si>
    <t xml:space="preserve">Количество проектов грантополучателей, реализуемых с помощью грантовой поддержки на развитие материально-технической базы сельскохозяйственных потребительских кооперативов, обеспечивших прирост объема реализации сельскохозяйственной продукции в отчетном году по отношению к предыдущему году не менее чем на 8 процентов (единиц);
</t>
  </si>
  <si>
    <t>14 Б 00 R5024</t>
  </si>
  <si>
    <t xml:space="preserve">Субсидии на возмещение части затрат на закладку и (или) уход за многолетними насаждениями </t>
  </si>
  <si>
    <t>Площадь уходных работ за многолетними насаждениями (до вступления в товарное плодоношение, но не более 3 лет с момента закладки для садов интенсивного типа) в сельскохозяйственных организациях, крестьянских (фермерских) хозяйствах и у индивидуальных предпринимателей (тыс. гектаров)</t>
  </si>
  <si>
    <t>краевого бюджета на 2022 год</t>
  </si>
  <si>
    <t xml:space="preserve">субсидии на возмещение части затрат на реализацию проектов мелиорации в рамках гидромелиоративных мероприятий по строительству оросительных и осушительных систем общего и индивидуального пользования и отдельно расположенных гидротехнических сооружений, а также рыбоводных прудов </t>
  </si>
  <si>
    <t>Субсидии на возмещение части затрат, связанных с оказанием услуг по продвижению пищевых продуктов и участием в выставочмероприятиях</t>
  </si>
  <si>
    <t>КБ</t>
  </si>
  <si>
    <t>ФБ</t>
  </si>
  <si>
    <t>КРАЕВОЙ БЮДЖЕТ 6. Подпрограмма "Кадровое обеспечение агропромышленного комплекса"</t>
  </si>
  <si>
    <t>КРАЕВОЙ БЮДЖЕТ 6 Подпрограмма "Кадровое обеспечение агропромышленного комплекса" (01)</t>
  </si>
  <si>
    <t>*</t>
  </si>
  <si>
    <t>22-55980-00000-00000</t>
  </si>
  <si>
    <t>22-55020-00000-00000</t>
  </si>
  <si>
    <t>22-55080-00000-00000</t>
  </si>
  <si>
    <t>22-52590-00000-00000</t>
  </si>
  <si>
    <t>22-54800-00000-00000</t>
  </si>
  <si>
    <t>22-54330-00000-00000</t>
  </si>
  <si>
    <t>22-55260-00000-00000</t>
  </si>
  <si>
    <t>22-55760-00000-00000</t>
  </si>
  <si>
    <t>22-53580-00000-00000</t>
  </si>
  <si>
    <t>Закон края от 09.12.2021 № 2-255</t>
  </si>
  <si>
    <t>322</t>
  </si>
  <si>
    <t>000</t>
  </si>
  <si>
    <t>Субсидии сельскохозяйственным потребительским кооперативам, сельскохозяйственным потребительским кооперативам, образованным двумя и более сельскохозяйственными потребительскими кооперативами, зарегистрированными на территории края, на возмещение части затрат на уплату процентов по кредитам (займам), полученным на срок до 2 лет и до 8 лет</t>
  </si>
  <si>
    <t>Субсидии сельскохозяйственным товаропроизводителям на возмещение части затрат на уплату процентов по кредитам, полученным в российских кредитных организациях, на развитие аквакультуры (рыбоводство) и товарного осетроводства</t>
  </si>
  <si>
    <t>Субсидии на возмещение части фактически осуществленных затрат в рамках культуртехнических мероприятий на выбывших сельскохозяйственных угодьях, вовлекаемых в сельскохозяйственный оборот</t>
  </si>
  <si>
    <t>план № 7287</t>
  </si>
  <si>
    <t>план №7328</t>
  </si>
  <si>
    <t>план № 7515</t>
  </si>
  <si>
    <t>план № 7674</t>
  </si>
  <si>
    <t>план № 7892</t>
  </si>
  <si>
    <t>план № 8283</t>
  </si>
  <si>
    <t>план № 8468</t>
  </si>
  <si>
    <t>план № 8220</t>
  </si>
  <si>
    <t>план № 7910</t>
  </si>
  <si>
    <t>план № 7705</t>
  </si>
  <si>
    <t>план № 7429</t>
  </si>
  <si>
    <t>№ 076-09-2020-005/4 от 27.12.2021</t>
  </si>
  <si>
    <t>Субсидии на возмещение части затрат на уплату процентов по кредитам, полученным в российских кредитных организациях, на развитие товарного осетроводства</t>
  </si>
  <si>
    <t>№ 082-I7-2022-017          от 23.12.2021</t>
  </si>
  <si>
    <t xml:space="preserve"> Субсидии на реализацию проектов мелиорации в рамках гидромелиоративных мероприятий по строительству оросительных и осушительных систем общего и индивидуального пользования и отдельно расположенных гидротехнических сооружений, а также рыбоводных прудов</t>
  </si>
  <si>
    <t>Субсидии на возмещение части фактически осуществленных затрат в рамках культуртехнических мероприятий на выбывших с/х угодьях, вовлекаемых в сельскохозяйственный оборот</t>
  </si>
  <si>
    <t>№ 082-09-2022-602          от 27.12.2021</t>
  </si>
  <si>
    <t>Субсидии на проведение гидромелиоративных, культуртехнических, агролесомелиоративных и фитомелиоративных мероприятий, а также мероприятий в области известкования кислых почв на пашне</t>
  </si>
  <si>
    <t>№ 082-I7-2022-088          от 28.12.2021</t>
  </si>
  <si>
    <t>закладка и (или) уход за многолетними насаждениями</t>
  </si>
  <si>
    <t xml:space="preserve">строительство оросительных и осушительных систем </t>
  </si>
  <si>
    <t>культуртехнические мероприятия</t>
  </si>
  <si>
    <t>2022 год ур-нь софинансир по данным  УФК</t>
  </si>
  <si>
    <t>многолетние насаждения</t>
  </si>
  <si>
    <t>руб.</t>
  </si>
  <si>
    <t>Раздел</t>
  </si>
  <si>
    <t>Подраздел</t>
  </si>
  <si>
    <t>КЦСР</t>
  </si>
  <si>
    <t>Доп. КР</t>
  </si>
  <si>
    <t>Код цели</t>
  </si>
  <si>
    <t>Финансирование</t>
  </si>
  <si>
    <t>Расход по ЛС</t>
  </si>
  <si>
    <t>Остаток финансирования (по банку)</t>
  </si>
  <si>
    <t>05</t>
  </si>
  <si>
    <t>0</t>
  </si>
  <si>
    <t>1480000210</t>
  </si>
  <si>
    <t>1480022740</t>
  </si>
  <si>
    <t>1480075170</t>
  </si>
  <si>
    <t>____ 00 R5763</t>
  </si>
  <si>
    <t>____00 R5763</t>
  </si>
  <si>
    <t>№ 082-09-2022-248          от 24.12.2021</t>
  </si>
  <si>
    <t>Кассовый расход средств федерального бюджета на 2022 год</t>
  </si>
  <si>
    <t>№ 082-09-2022-109          от 28.12.2021</t>
  </si>
  <si>
    <t>№ 082-09-2022-026          от 27.12.2021</t>
  </si>
  <si>
    <t>Прием заявок на отбор</t>
  </si>
  <si>
    <t>с 15.02 по 16.03</t>
  </si>
  <si>
    <t>10</t>
  </si>
  <si>
    <t>03</t>
  </si>
  <si>
    <t>1460022550</t>
  </si>
  <si>
    <t>1460024680</t>
  </si>
  <si>
    <t>с 23.02 по 24.03</t>
  </si>
  <si>
    <t>70,999999999123164</t>
  </si>
  <si>
    <t>Создание системы поддержки фермеров и развитие сельской кооперации</t>
  </si>
  <si>
    <t>71,000000001091312</t>
  </si>
  <si>
    <t>80,999999994609498</t>
  </si>
  <si>
    <t>19,000000005390602</t>
  </si>
  <si>
    <t>28,999999998908788</t>
  </si>
  <si>
    <t>29,000000000876836</t>
  </si>
  <si>
    <t>71,000000019525275</t>
  </si>
  <si>
    <t>28,999999980474825</t>
  </si>
  <si>
    <t>39,603333332590835</t>
  </si>
  <si>
    <t>60,396666667409165</t>
  </si>
  <si>
    <t>22-55760-00000-02000</t>
  </si>
  <si>
    <t>22-55760-00000-01000</t>
  </si>
  <si>
    <t>94,999783821176878</t>
  </si>
  <si>
    <t>5,000216178823122</t>
  </si>
  <si>
    <t>с 15.03 по 13.04</t>
  </si>
  <si>
    <t>с 14.03 по 12.04</t>
  </si>
  <si>
    <t>Субсидии на возмещение  части затрат на реализацию произведенных и реализованных хлеба и хлебобулочных изделий</t>
  </si>
  <si>
    <t>Гранты в форме субсидий ассоциациям (союзам) на финансовое обеспечение затрат на реализацию проектов, направленных на ведение и развитие на территории края садоводства и огородничества</t>
  </si>
  <si>
    <t>14 Д 00 24410</t>
  </si>
  <si>
    <t>с 10.03 по 08.04</t>
  </si>
  <si>
    <t>1470022610</t>
  </si>
  <si>
    <t>Действия, которые необходимо выполнить для предоставления субсидии, и сроки их выполнения</t>
  </si>
  <si>
    <t>принять приказ по результатам отбора получателей</t>
  </si>
  <si>
    <r>
      <t xml:space="preserve">опубликовать на портале Красноярского края приказ по утверждению ставок </t>
    </r>
    <r>
      <rPr>
        <sz val="11"/>
        <rFont val="Times New Roman"/>
        <family val="1"/>
        <charset val="204"/>
      </rPr>
      <t>(вступает в силу на следующий день после опубликования)</t>
    </r>
  </si>
  <si>
    <t>опубликовать результаты отбора на сайте министерства</t>
  </si>
  <si>
    <t>подготовить в ГИС "Электронный бюджет" соглашения с получателями</t>
  </si>
  <si>
    <t xml:space="preserve">получатель подписывает соглашение в ГИС "Электронный бюджет" </t>
  </si>
  <si>
    <t>принять приказ по утверждению ставки (после согласования с Прокуратурой края)</t>
  </si>
  <si>
    <t xml:space="preserve">принять приказ о предоставлении субсидии </t>
  </si>
  <si>
    <t>Количество получателей в 2021 году</t>
  </si>
  <si>
    <t>направить сводную справку-расчет в минфин края</t>
  </si>
  <si>
    <t>11.04.2022</t>
  </si>
  <si>
    <t>12.04.2022</t>
  </si>
  <si>
    <t>13.04.2022</t>
  </si>
  <si>
    <t>14.04.2022</t>
  </si>
  <si>
    <t>14.04-15.04</t>
  </si>
  <si>
    <t>38</t>
  </si>
  <si>
    <t>18.04.2022</t>
  </si>
  <si>
    <t>19.04.2022</t>
  </si>
  <si>
    <t>перечисление минфином средств на лиц счет министерства</t>
  </si>
  <si>
    <t>Подготовка заявки на перечисление средств получателям</t>
  </si>
  <si>
    <t>20.04.2022</t>
  </si>
  <si>
    <t>22.04.2022</t>
  </si>
  <si>
    <t>28.03.2022</t>
  </si>
  <si>
    <t>29.03.2022</t>
  </si>
  <si>
    <t>30.03.2022</t>
  </si>
  <si>
    <t>31.03.2022</t>
  </si>
  <si>
    <t>01.04-04.04</t>
  </si>
  <si>
    <t>07.04.2022</t>
  </si>
  <si>
    <t>05.04-06.04.</t>
  </si>
  <si>
    <t>08.04.2022</t>
  </si>
  <si>
    <t>12.04-13.04.</t>
  </si>
  <si>
    <t>Информация об максимально возможных сроках рассмотрения документов и предоставление субсидий, софинансируемых за счет средств федерального бюджета</t>
  </si>
  <si>
    <t>Направления поддержки, по которым объявлен отбор получателей</t>
  </si>
  <si>
    <t xml:space="preserve">Период приема документов </t>
  </si>
  <si>
    <t>ежемесячно до 06 числа</t>
  </si>
  <si>
    <t>Субсидии на возмещение части затрат на проведение агротехнологических работ, повышение уровня экологической безопасности с/х производства, а также на повышение плодородия и качества почв</t>
  </si>
  <si>
    <t>16.03.2022</t>
  </si>
  <si>
    <t>17.03.2022</t>
  </si>
  <si>
    <r>
      <t xml:space="preserve">Направление поддержки, по которому не объявлен отбор получателей </t>
    </r>
    <r>
      <rPr>
        <sz val="12"/>
        <rFont val="Times New Roman"/>
        <family val="1"/>
        <charset val="204"/>
      </rPr>
      <t>(сроки предусмотрены постановлением 85-п)</t>
    </r>
  </si>
  <si>
    <t>Проверка документов казначеством края и УФК, перечисление</t>
  </si>
  <si>
    <t>1 рабочий день</t>
  </si>
  <si>
    <t>18.03.2022</t>
  </si>
  <si>
    <t>2 дня</t>
  </si>
  <si>
    <t>23.03.2022</t>
  </si>
  <si>
    <t>24.03.2022</t>
  </si>
  <si>
    <t>25.03.2022</t>
  </si>
  <si>
    <t xml:space="preserve">Субсидии на возмещение части затрат на племенное маточное поголовье с/х животных, племенных быков-производителей </t>
  </si>
  <si>
    <t>с 17.03 по 15.04</t>
  </si>
  <si>
    <t>14 Б 00 57870</t>
  </si>
  <si>
    <t>% освоения от лимита</t>
  </si>
  <si>
    <t>Субсидии на компенсацию части затрат на   производство и реализацию произведенных и реализованных хлеба и хлебобулочных изделий</t>
  </si>
  <si>
    <t>распоряжение Правительства РФ от 18.03.2022 № 533-р</t>
  </si>
  <si>
    <t xml:space="preserve"> % освоения в среднем по стимулирующей и компенсирующей субсидиям (суммарно) </t>
  </si>
  <si>
    <t>1460022560</t>
  </si>
  <si>
    <t>14Б0024300</t>
  </si>
  <si>
    <t>14Б00R5085</t>
  </si>
  <si>
    <t>14Г0022820</t>
  </si>
  <si>
    <t>14Г0023100</t>
  </si>
  <si>
    <t>14Г0023110</t>
  </si>
  <si>
    <t>14Г00R4330</t>
  </si>
  <si>
    <t>14Г00R5260</t>
  </si>
  <si>
    <t>14700R5764</t>
  </si>
  <si>
    <t>14Б00R5083</t>
  </si>
  <si>
    <t>14</t>
  </si>
  <si>
    <t>1470074110</t>
  </si>
  <si>
    <t>Информация о доведении субсидий на условиях софинансирования из федерального  бюджета</t>
  </si>
  <si>
    <t>Всего в 2022 году</t>
  </si>
  <si>
    <r>
      <t xml:space="preserve">№ 082-09-2022-431          от 27.12.2021 </t>
    </r>
    <r>
      <rPr>
        <sz val="11"/>
        <rFont val="Times New Roman"/>
        <family val="1"/>
        <charset val="204"/>
      </rPr>
      <t>(в ред доп согл № 1 от 04.04.2022)</t>
    </r>
  </si>
  <si>
    <t>14 Б 00 R7870</t>
  </si>
  <si>
    <t>Субсидии на оказание несвязанной поддержки в области растениеводства субъектам малого предпринимательства</t>
  </si>
  <si>
    <t>14 Б 00 21890</t>
  </si>
  <si>
    <t>22-57870-00000-00000</t>
  </si>
  <si>
    <t>14Б0021880</t>
  </si>
  <si>
    <t>14Б0024390</t>
  </si>
  <si>
    <t>14Б00R5084</t>
  </si>
  <si>
    <t>№ 082-I7-2022-161          от 08.04.2022</t>
  </si>
  <si>
    <t>Иные межбюджетные трансферты,
имеющие целевое назначение на осуществление компенсации предприятиям
хлебопекарной промышленности части затрат на производство и реализацию
произведенных и реализованных хлеба и хлебобулочных изделий</t>
  </si>
  <si>
    <t>Субсидии на компенсацию части затрат на производство и реализацию
произведенных и реализованных хлеба и хлебобулочных изделий</t>
  </si>
  <si>
    <t>с 18.04 по 07.05</t>
  </si>
  <si>
    <t xml:space="preserve"> на 01.01.2023 г.</t>
  </si>
  <si>
    <t>14Б0024360</t>
  </si>
  <si>
    <t>1440022320</t>
  </si>
  <si>
    <t>1450022440</t>
  </si>
  <si>
    <t>с 14.04 по 23.04</t>
  </si>
  <si>
    <t>Субсидии  сельскохозяйственным потребительским кооперативам и сельскохозяйственным потребительским кооперативам, образованным двумя и более сельскохозяйственными потребительскими кооперативами, зарегистрированными на территории края, на возмещение части затрат на уплату процентов по кредитам (займам), полученным на срок от 2 до 8 лет</t>
  </si>
  <si>
    <t>98,999980621925461</t>
  </si>
  <si>
    <t>1,000019378074539</t>
  </si>
  <si>
    <t>с 20.04 по 29.04</t>
  </si>
  <si>
    <t>14Б00R5022</t>
  </si>
  <si>
    <t>14Б00R5082</t>
  </si>
  <si>
    <t>1440022310</t>
  </si>
  <si>
    <t>14Д0024400</t>
  </si>
  <si>
    <t>Закон края от 07.04.2022 № 3-623</t>
  </si>
  <si>
    <t>Бюджет: бюджет Красноярского края</t>
  </si>
  <si>
    <t>1440022800</t>
  </si>
  <si>
    <t>14Б0024220</t>
  </si>
  <si>
    <t>14Б0024240</t>
  </si>
  <si>
    <t>14Б00R3580</t>
  </si>
  <si>
    <t>Дата печати 28.04.2022 (16:07:52)</t>
  </si>
  <si>
    <t>Перечислено в марте</t>
  </si>
  <si>
    <t>Перечислено в апреле</t>
  </si>
  <si>
    <t>с 06.05 по 19.05</t>
  </si>
  <si>
    <t>с 17.02 по 18.03;                   с 26.04 по 05.05</t>
  </si>
  <si>
    <t>Субсидии на компенсацию части затрат на производство и реализацию произведенных и реализованных хлеба и хлебобулочных изделий</t>
  </si>
  <si>
    <t>План на июнь</t>
  </si>
  <si>
    <t>с 20.06</t>
  </si>
  <si>
    <t>с 12.05 по 21.05</t>
  </si>
  <si>
    <t>№ 082-09-2022-474          от 27.12.2021</t>
  </si>
  <si>
    <t>потребность на 2022 год ФБ - 11 025,0 тр</t>
  </si>
  <si>
    <t>% освоения средств</t>
  </si>
  <si>
    <t>с 13.05 по 23.05</t>
  </si>
  <si>
    <t>с 18.05 по 27.05</t>
  </si>
  <si>
    <t>с 17.02 по 18.03                            с 12.05 по 21.05</t>
  </si>
  <si>
    <t>с 15.03 по 13.04              с 12.05 по 21.05</t>
  </si>
  <si>
    <t>с 26.05 по 14.06</t>
  </si>
  <si>
    <t>с 30.05 по 08.06</t>
  </si>
  <si>
    <t>с 06.06 по 15.06</t>
  </si>
  <si>
    <t>с 22.04 по 01.05                        с 25.05 по 03.06</t>
  </si>
  <si>
    <t>с 31.05 по 09.06</t>
  </si>
  <si>
    <t>Изменение росписи расходов от 07.06.2022</t>
  </si>
  <si>
    <t>Субсидии на возмещение части затрат, связанных с оказанием услуг по продвижению пищевых продуктов и участием в выставочно-ярмарочных мероприятиях</t>
  </si>
  <si>
    <t>с 18.02 по 19.03                      с 30.05 по 08.06</t>
  </si>
  <si>
    <t>с 10.06 по 19.06</t>
  </si>
  <si>
    <t>с 16.06. по 25.06</t>
  </si>
  <si>
    <r>
      <t xml:space="preserve">с 15.03 по 13.04;              </t>
    </r>
    <r>
      <rPr>
        <sz val="12"/>
        <color rgb="FFFF0000"/>
        <rFont val="Times New Roman"/>
        <family val="1"/>
        <charset val="204"/>
      </rPr>
      <t xml:space="preserve"> с 16.06 по 05.07</t>
    </r>
  </si>
  <si>
    <t>с 17.06 по 26.06</t>
  </si>
  <si>
    <t>с 18.06 по 27.06</t>
  </si>
  <si>
    <t>50,000092021717125</t>
  </si>
  <si>
    <t>49,999907978282875</t>
  </si>
  <si>
    <t>с 22.06 по 05.07</t>
  </si>
  <si>
    <t>Государственная программа края "Содействие развитию местного самоуправления"</t>
  </si>
  <si>
    <t>Расходы на закупку тракторов, машин и оборудования для сельского и лесного хозяйства, прицепов и полуприцепов, машин и оборудования для коммунального хозяйства для передачи в муниципальную собственность в целях решения вопросов содержания и благоустройства</t>
  </si>
  <si>
    <t>15 9 00 25500</t>
  </si>
  <si>
    <t>с 23.06 по 02.07</t>
  </si>
  <si>
    <t>Поддержка сельскохозяйственного  производства по отдельным подотраслям растениеводства и животноводства</t>
  </si>
  <si>
    <t>Субсидии на возмещение части затрат на поддержку элитного семеноводства и на проведение комплекса агротехнических работ в области развития семеноводства сельскохозяйственных культур</t>
  </si>
  <si>
    <t>о финансировании Государственных программ Красноярского края по мероприятиям, курируемым министерством сельского хозяйства и торговли края</t>
  </si>
  <si>
    <t>Средства резервного фонда Правительства Красноярского края на возмещение ущерба по прямым затратам, понесенного субъектами АПК края в связи с утратой (гибелью) урожая зерновых культур в результате неблагоприятных, опасных метеорологических явлений</t>
  </si>
  <si>
    <t>Всего по Государственным программам края и средства  резервного фонда Правительства Красноярского края</t>
  </si>
  <si>
    <t>2023 расчет</t>
  </si>
  <si>
    <t>2024 год расчет</t>
  </si>
  <si>
    <t>2024 год ур-нь софинансир</t>
  </si>
  <si>
    <r>
      <t xml:space="preserve">с 15.04. по 24.04; </t>
    </r>
    <r>
      <rPr>
        <sz val="12"/>
        <color rgb="FFFF0000"/>
        <rFont val="Times New Roman"/>
        <family val="1"/>
        <charset val="204"/>
      </rPr>
      <t>с 01.07 по 10.07</t>
    </r>
    <r>
      <rPr>
        <sz val="12"/>
        <rFont val="Times New Roman"/>
        <family val="1"/>
        <charset val="204"/>
      </rPr>
      <t xml:space="preserve"> (пп. е) ст. 30);</t>
    </r>
  </si>
  <si>
    <t>91 Б 00 10110</t>
  </si>
  <si>
    <t>по состоянию на 01.07.2022</t>
  </si>
  <si>
    <t>Перечислено в мае</t>
  </si>
  <si>
    <t>Перечислено в июне</t>
  </si>
  <si>
    <t>План перечисления в июле</t>
  </si>
  <si>
    <t>14 Г 00 22340</t>
  </si>
  <si>
    <t>Субсидии на возмещение части затрат на уплату процентов по  кредитным договорам, заключенным с 1 января 2022 года на срок от 2 до 12 лет</t>
  </si>
  <si>
    <t>Изменение росписи расходов от 06.07.2022</t>
  </si>
  <si>
    <t>План</t>
  </si>
  <si>
    <t>Остаток средств в краевом бюджете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</si>
</sst>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">
    <numFmt numFmtId="164" formatCode="_-* #,##0.00_р_._-;\-* #,##0.00_р_._-;_-* &quot;-&quot;??_р_._-;_-@_-"/>
    <numFmt numFmtId="165" formatCode="#,##0.0"/>
    <numFmt numFmtId="166" formatCode="#,##0.0000000000000000"/>
    <numFmt numFmtId="167" formatCode="0.000000000000000000"/>
    <numFmt numFmtId="168" formatCode="#,##0.000000"/>
    <numFmt numFmtId="169" formatCode="#,##0.000000000000000000"/>
    <numFmt numFmtId="170" formatCode="#,##0.000"/>
    <numFmt numFmtId="171" formatCode="#,##0.00000"/>
    <numFmt numFmtId="172" formatCode="#,##0.00000000000000000"/>
    <numFmt numFmtId="173" formatCode="#,##0.0000"/>
    <numFmt numFmtId="174" formatCode="0.00000000000000000"/>
    <numFmt numFmtId="175" formatCode="0.0000000"/>
    <numFmt numFmtId="176" formatCode="0.00000"/>
    <numFmt numFmtId="177" formatCode="0.0000000000000000"/>
    <numFmt numFmtId="178" formatCode="?"/>
    <numFmt numFmtId="179" formatCode="0.000"/>
    <numFmt numFmtId="180" formatCode="0.0"/>
    <numFmt numFmtId="181" formatCode="dd/mm/yyyy\ hh:mm"/>
    <numFmt numFmtId="182" formatCode="#,##0.0000000000000000000"/>
    <numFmt numFmtId="183" formatCode="0.000000000000000"/>
    <numFmt numFmtId="184" formatCode="0.0000000000000000000"/>
  </numFmts>
  <fonts count="97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3"/>
      <name val="Times New Roman"/>
      <family val="1"/>
      <charset val="204"/>
    </font>
    <font>
      <sz val="13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6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i/>
      <sz val="12"/>
      <color indexed="1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i/>
      <sz val="12"/>
      <color rgb="FF0070C0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2"/>
      <color rgb="FF0070C0"/>
      <name val="Times New Roman"/>
      <family val="1"/>
      <charset val="204"/>
    </font>
    <font>
      <sz val="12"/>
      <color rgb="FF0070C0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  <font>
      <sz val="10"/>
      <name val="Arial"/>
      <family val="2"/>
      <charset val="204"/>
    </font>
    <font>
      <sz val="8"/>
      <name val="Arial Cyr"/>
    </font>
    <font>
      <b/>
      <sz val="11"/>
      <color rgb="FF996633"/>
      <name val="Times New Roman"/>
      <family val="1"/>
      <charset val="204"/>
    </font>
    <font>
      <b/>
      <sz val="12"/>
      <color rgb="FF996633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theme="3" tint="0.39997558519241921"/>
      <name val="Times New Roman"/>
      <family val="1"/>
      <charset val="204"/>
    </font>
    <font>
      <sz val="12"/>
      <color rgb="FF008080"/>
      <name val="Times New Roman"/>
      <family val="1"/>
      <charset val="204"/>
    </font>
    <font>
      <i/>
      <sz val="11"/>
      <name val="Times New Roman"/>
      <family val="1"/>
      <charset val="204"/>
    </font>
    <font>
      <sz val="16"/>
      <name val="Times New Roman"/>
      <family val="1"/>
      <charset val="204"/>
    </font>
    <font>
      <b/>
      <u/>
      <sz val="14"/>
      <name val="Times New Roman"/>
      <family val="1"/>
      <charset val="204"/>
    </font>
    <font>
      <b/>
      <u/>
      <sz val="11"/>
      <name val="Times New Roman"/>
      <family val="1"/>
      <charset val="204"/>
    </font>
    <font>
      <b/>
      <i/>
      <sz val="14"/>
      <color indexed="36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sz val="12"/>
      <color rgb="FF008080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12"/>
      <color indexed="45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i/>
      <sz val="14"/>
      <color rgb="FF7030A0"/>
      <name val="Times New Roman"/>
      <family val="1"/>
      <charset val="204"/>
    </font>
    <font>
      <b/>
      <sz val="14"/>
      <color rgb="FF7030A0"/>
      <name val="Times New Roman"/>
      <family val="1"/>
      <charset val="204"/>
    </font>
    <font>
      <b/>
      <i/>
      <sz val="13"/>
      <color indexed="10"/>
      <name val="Times New Roman"/>
      <family val="1"/>
      <charset val="204"/>
    </font>
    <font>
      <b/>
      <i/>
      <sz val="11"/>
      <color indexed="10"/>
      <name val="Times New Roman"/>
      <family val="1"/>
      <charset val="204"/>
    </font>
    <font>
      <b/>
      <i/>
      <sz val="14"/>
      <color indexed="10"/>
      <name val="Times New Roman"/>
      <family val="1"/>
      <charset val="204"/>
    </font>
    <font>
      <i/>
      <sz val="14"/>
      <name val="Times New Roman"/>
      <family val="1"/>
      <charset val="204"/>
    </font>
    <font>
      <b/>
      <sz val="13"/>
      <color theme="5" tint="-0.249977111117893"/>
      <name val="Times New Roman"/>
      <family val="1"/>
      <charset val="204"/>
    </font>
    <font>
      <b/>
      <i/>
      <sz val="14"/>
      <color theme="5" tint="-0.249977111117893"/>
      <name val="Times New Roman"/>
      <family val="1"/>
      <charset val="204"/>
    </font>
    <font>
      <b/>
      <i/>
      <sz val="13"/>
      <color rgb="FF002060"/>
      <name val="Times New Roman"/>
      <family val="1"/>
      <charset val="204"/>
    </font>
    <font>
      <b/>
      <i/>
      <sz val="11"/>
      <color rgb="FF002060"/>
      <name val="Times New Roman"/>
      <family val="1"/>
      <charset val="204"/>
    </font>
    <font>
      <b/>
      <i/>
      <sz val="14"/>
      <color rgb="FF002060"/>
      <name val="Times New Roman"/>
      <family val="1"/>
      <charset val="204"/>
    </font>
    <font>
      <b/>
      <sz val="13"/>
      <color indexed="10"/>
      <name val="Times New Roman"/>
      <family val="1"/>
      <charset val="204"/>
    </font>
    <font>
      <b/>
      <sz val="11"/>
      <color indexed="10"/>
      <name val="Times New Roman"/>
      <family val="1"/>
      <charset val="204"/>
    </font>
    <font>
      <b/>
      <sz val="14"/>
      <color indexed="10"/>
      <name val="Times New Roman"/>
      <family val="1"/>
      <charset val="204"/>
    </font>
    <font>
      <b/>
      <sz val="13"/>
      <color rgb="FF002060"/>
      <name val="Times New Roman"/>
      <family val="1"/>
      <charset val="204"/>
    </font>
    <font>
      <b/>
      <sz val="11"/>
      <color rgb="FF002060"/>
      <name val="Times New Roman"/>
      <family val="1"/>
      <charset val="204"/>
    </font>
    <font>
      <b/>
      <sz val="14"/>
      <color rgb="FF002060"/>
      <name val="Times New Roman"/>
      <family val="1"/>
      <charset val="204"/>
    </font>
    <font>
      <sz val="12"/>
      <color rgb="FF7030A0"/>
      <name val="Times New Roman"/>
      <family val="1"/>
      <charset val="204"/>
    </font>
    <font>
      <sz val="12"/>
      <color theme="5" tint="-0.249977111117893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b/>
      <i/>
      <sz val="12"/>
      <color rgb="FF002060"/>
      <name val="Times New Roman"/>
      <family val="1"/>
      <charset val="204"/>
    </font>
    <font>
      <b/>
      <i/>
      <sz val="13"/>
      <color rgb="FFFF0000"/>
      <name val="Times New Roman"/>
      <family val="1"/>
      <charset val="204"/>
    </font>
    <font>
      <b/>
      <i/>
      <sz val="14"/>
      <color rgb="FFFF0000"/>
      <name val="Times New Roman"/>
      <family val="1"/>
      <charset val="204"/>
    </font>
    <font>
      <b/>
      <i/>
      <sz val="11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14"/>
      <color theme="9" tint="-0.499984740745262"/>
      <name val="Times New Roman"/>
      <family val="1"/>
      <charset val="204"/>
    </font>
    <font>
      <b/>
      <sz val="12"/>
      <color theme="9" tint="-0.499984740745262"/>
      <name val="Times New Roman"/>
      <family val="1"/>
      <charset val="204"/>
    </font>
    <font>
      <sz val="12"/>
      <color theme="9" tint="-0.49998474074526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i/>
      <sz val="14"/>
      <color theme="5" tint="-0.249977111117893"/>
      <name val="Times New Roman"/>
      <family val="1"/>
      <charset val="204"/>
    </font>
    <font>
      <i/>
      <sz val="14"/>
      <color rgb="FF002060"/>
      <name val="Times New Roman"/>
      <family val="1"/>
      <charset val="204"/>
    </font>
    <font>
      <sz val="11.5"/>
      <name val="Times New Roman"/>
      <family val="1"/>
      <charset val="204"/>
    </font>
    <font>
      <sz val="11.5"/>
      <color rgb="FF7030A0"/>
      <name val="Times New Roman"/>
      <family val="1"/>
      <charset val="204"/>
    </font>
    <font>
      <b/>
      <i/>
      <sz val="11.5"/>
      <name val="Times New Roman"/>
      <family val="1"/>
      <charset val="204"/>
    </font>
    <font>
      <sz val="11"/>
      <color theme="0"/>
      <name val="Calibri"/>
      <family val="2"/>
      <charset val="204"/>
      <scheme val="minor"/>
    </font>
    <font>
      <sz val="14"/>
      <color theme="5" tint="-0.249977111117893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i/>
      <sz val="13"/>
      <color theme="5" tint="-0.249977111117893"/>
      <name val="Times New Roman"/>
      <family val="1"/>
      <charset val="204"/>
    </font>
    <font>
      <sz val="11"/>
      <color theme="5" tint="-0.249977111117893"/>
      <name val="Times New Roman"/>
      <family val="1"/>
      <charset val="204"/>
    </font>
    <font>
      <b/>
      <i/>
      <sz val="11"/>
      <color theme="5" tint="-0.249977111117893"/>
      <name val="Times New Roman"/>
      <family val="1"/>
      <charset val="204"/>
    </font>
    <font>
      <b/>
      <i/>
      <sz val="13"/>
      <color theme="8" tint="-0.249977111117893"/>
      <name val="Times New Roman"/>
      <family val="1"/>
      <charset val="204"/>
    </font>
    <font>
      <b/>
      <i/>
      <sz val="11"/>
      <color theme="8" tint="-0.249977111117893"/>
      <name val="Times New Roman"/>
      <family val="1"/>
      <charset val="204"/>
    </font>
    <font>
      <b/>
      <i/>
      <sz val="14"/>
      <color theme="8" tint="-0.249977111117893"/>
      <name val="Times New Roman"/>
      <family val="1"/>
      <charset val="204"/>
    </font>
    <font>
      <sz val="8.5"/>
      <name val="MS Sans Serif"/>
    </font>
    <font>
      <b/>
      <sz val="8.5"/>
      <name val="MS Sans Serif"/>
    </font>
    <font>
      <sz val="9"/>
      <name val="Arial Cyr"/>
      <charset val="204"/>
    </font>
    <font>
      <b/>
      <sz val="8"/>
      <name val="Arial Cyr"/>
    </font>
    <font>
      <sz val="10"/>
      <name val="Arial"/>
      <family val="2"/>
      <charset val="204"/>
    </font>
    <font>
      <sz val="14"/>
      <color theme="8" tint="-0.249977111117893"/>
      <name val="Times New Roman"/>
      <family val="1"/>
      <charset val="204"/>
    </font>
    <font>
      <sz val="10"/>
      <name val="Arial Cyr"/>
    </font>
    <font>
      <u/>
      <sz val="10"/>
      <color theme="10"/>
      <name val="Arial Cyr"/>
      <charset val="204"/>
    </font>
    <font>
      <sz val="10"/>
      <name val="Arial"/>
      <family val="2"/>
      <charset val="204"/>
    </font>
    <font>
      <b/>
      <sz val="11"/>
      <name val="Times New Roman"/>
      <family val="1"/>
      <charset val="204"/>
    </font>
    <font>
      <b/>
      <i/>
      <sz val="14"/>
      <color rgb="FFC00000"/>
      <name val="Times New Roman"/>
      <family val="1"/>
      <charset val="204"/>
    </font>
    <font>
      <b/>
      <sz val="12"/>
      <color rgb="FFC00000"/>
      <name val="Times New Roman"/>
      <family val="1"/>
      <charset val="204"/>
    </font>
    <font>
      <b/>
      <sz val="11"/>
      <color rgb="FFC00000"/>
      <name val="Times New Roman"/>
      <family val="1"/>
      <charset val="204"/>
    </font>
  </fonts>
  <fills count="53">
    <fill>
      <patternFill patternType="none"/>
    </fill>
    <fill>
      <patternFill patternType="gray125"/>
    </fill>
    <fill>
      <patternFill patternType="solid">
        <fgColor rgb="FF99FF9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66FFFF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00CC66"/>
        <bgColor indexed="64"/>
      </patternFill>
    </fill>
    <fill>
      <patternFill patternType="solid">
        <fgColor rgb="FFE2829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FF9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66CCFF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8">
    <xf numFmtId="0" fontId="0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2" fillId="0" borderId="0"/>
    <xf numFmtId="164" fontId="2" fillId="0" borderId="0" applyFont="0" applyFill="0" applyBorder="0" applyAlignment="0" applyProtection="0"/>
    <xf numFmtId="0" fontId="69" fillId="0" borderId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5" borderId="0" applyNumberFormat="0" applyBorder="0" applyAlignment="0" applyProtection="0"/>
    <xf numFmtId="0" fontId="1" fillId="38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9" borderId="0" applyNumberFormat="0" applyBorder="0" applyAlignment="0" applyProtection="0"/>
    <xf numFmtId="0" fontId="75" fillId="25" borderId="0" applyNumberFormat="0" applyBorder="0" applyAlignment="0" applyProtection="0"/>
    <xf numFmtId="0" fontId="75" fillId="28" borderId="0" applyNumberFormat="0" applyBorder="0" applyAlignment="0" applyProtection="0"/>
    <xf numFmtId="0" fontId="75" fillId="31" borderId="0" applyNumberFormat="0" applyBorder="0" applyAlignment="0" applyProtection="0"/>
    <xf numFmtId="0" fontId="75" fillId="34" borderId="0" applyNumberFormat="0" applyBorder="0" applyAlignment="0" applyProtection="0"/>
    <xf numFmtId="0" fontId="75" fillId="37" borderId="0" applyNumberFormat="0" applyBorder="0" applyAlignment="0" applyProtection="0"/>
    <xf numFmtId="0" fontId="75" fillId="40" borderId="0" applyNumberFormat="0" applyBorder="0" applyAlignment="0" applyProtection="0"/>
    <xf numFmtId="0" fontId="88" fillId="0" borderId="0"/>
    <xf numFmtId="0" fontId="91" fillId="0" borderId="0" applyNumberFormat="0" applyFill="0" applyBorder="0" applyAlignment="0" applyProtection="0"/>
    <xf numFmtId="0" fontId="92" fillId="0" borderId="0"/>
  </cellStyleXfs>
  <cellXfs count="1241">
    <xf numFmtId="0" fontId="0" fillId="0" borderId="0" xfId="0"/>
    <xf numFmtId="0" fontId="4" fillId="0" borderId="0" xfId="0" applyFont="1" applyAlignment="1">
      <alignment vertical="top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vertical="top" wrapText="1"/>
    </xf>
    <xf numFmtId="0" fontId="4" fillId="0" borderId="0" xfId="0" applyFont="1" applyAlignment="1">
      <alignment horizontal="center" vertical="top"/>
    </xf>
    <xf numFmtId="0" fontId="4" fillId="0" borderId="0" xfId="0" applyFont="1" applyBorder="1" applyAlignment="1">
      <alignment vertical="top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top" wrapText="1"/>
    </xf>
    <xf numFmtId="0" fontId="6" fillId="0" borderId="2" xfId="0" applyFont="1" applyFill="1" applyBorder="1" applyAlignment="1">
      <alignment horizontal="center" vertical="top" wrapText="1"/>
    </xf>
    <xf numFmtId="0" fontId="6" fillId="0" borderId="0" xfId="0" applyFont="1" applyAlignment="1">
      <alignment vertical="top" wrapText="1"/>
    </xf>
    <xf numFmtId="0" fontId="7" fillId="0" borderId="1" xfId="0" applyFont="1" applyFill="1" applyBorder="1" applyAlignment="1">
      <alignment vertical="top" wrapText="1"/>
    </xf>
    <xf numFmtId="0" fontId="8" fillId="0" borderId="1" xfId="0" applyFont="1" applyFill="1" applyBorder="1" applyAlignment="1">
      <alignment vertical="top" wrapText="1"/>
    </xf>
    <xf numFmtId="49" fontId="5" fillId="0" borderId="3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" fontId="5" fillId="3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165" fontId="7" fillId="0" borderId="1" xfId="0" applyNumberFormat="1" applyFont="1" applyFill="1" applyBorder="1" applyAlignment="1">
      <alignment vertical="top" wrapText="1"/>
    </xf>
    <xf numFmtId="0" fontId="8" fillId="0" borderId="1" xfId="0" applyFont="1" applyFill="1" applyBorder="1" applyAlignment="1">
      <alignment horizontal="left" vertical="top" wrapText="1" indent="5"/>
    </xf>
    <xf numFmtId="0" fontId="8" fillId="0" borderId="3" xfId="0" applyFont="1" applyFill="1" applyBorder="1" applyAlignment="1">
      <alignment horizontal="left" vertical="top" wrapText="1" indent="5"/>
    </xf>
    <xf numFmtId="49" fontId="6" fillId="0" borderId="3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" fontId="6" fillId="3" borderId="1" xfId="0" applyNumberFormat="1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vertical="center" wrapText="1"/>
    </xf>
    <xf numFmtId="166" fontId="6" fillId="0" borderId="1" xfId="0" applyNumberFormat="1" applyFont="1" applyFill="1" applyBorder="1" applyAlignment="1">
      <alignment vertical="center" wrapText="1"/>
    </xf>
    <xf numFmtId="4" fontId="9" fillId="0" borderId="1" xfId="0" applyNumberFormat="1" applyFont="1" applyFill="1" applyBorder="1" applyAlignment="1">
      <alignment vertical="top" wrapText="1"/>
    </xf>
    <xf numFmtId="0" fontId="4" fillId="0" borderId="0" xfId="0" applyFont="1" applyAlignment="1">
      <alignment vertical="top" wrapText="1"/>
    </xf>
    <xf numFmtId="167" fontId="4" fillId="0" borderId="0" xfId="0" applyNumberFormat="1" applyFont="1" applyAlignment="1">
      <alignment vertical="top" wrapText="1"/>
    </xf>
    <xf numFmtId="0" fontId="8" fillId="0" borderId="3" xfId="0" applyFont="1" applyFill="1" applyBorder="1" applyAlignment="1">
      <alignment horizontal="left" vertical="top" wrapText="1"/>
    </xf>
    <xf numFmtId="168" fontId="6" fillId="0" borderId="1" xfId="0" applyNumberFormat="1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left" vertical="top" wrapText="1" indent="3"/>
    </xf>
    <xf numFmtId="0" fontId="8" fillId="0" borderId="3" xfId="0" applyFont="1" applyFill="1" applyBorder="1" applyAlignment="1">
      <alignment vertical="top" wrapText="1"/>
    </xf>
    <xf numFmtId="4" fontId="9" fillId="0" borderId="1" xfId="0" applyNumberFormat="1" applyFont="1" applyFill="1" applyBorder="1" applyAlignment="1">
      <alignment vertical="center" wrapText="1"/>
    </xf>
    <xf numFmtId="4" fontId="3" fillId="0" borderId="0" xfId="0" applyNumberFormat="1" applyFont="1" applyAlignment="1">
      <alignment vertical="top" wrapText="1"/>
    </xf>
    <xf numFmtId="169" fontId="6" fillId="0" borderId="1" xfId="0" applyNumberFormat="1" applyFont="1" applyFill="1" applyBorder="1" applyAlignment="1">
      <alignment vertical="center" wrapText="1"/>
    </xf>
    <xf numFmtId="170" fontId="6" fillId="0" borderId="1" xfId="0" applyNumberFormat="1" applyFont="1" applyFill="1" applyBorder="1" applyAlignment="1">
      <alignment vertical="center" wrapText="1"/>
    </xf>
    <xf numFmtId="171" fontId="6" fillId="0" borderId="1" xfId="0" applyNumberFormat="1" applyFont="1" applyFill="1" applyBorder="1" applyAlignment="1">
      <alignment vertical="center" wrapText="1"/>
    </xf>
    <xf numFmtId="0" fontId="3" fillId="0" borderId="0" xfId="0" applyFont="1" applyBorder="1" applyAlignment="1">
      <alignment vertical="top" wrapText="1"/>
    </xf>
    <xf numFmtId="0" fontId="6" fillId="0" borderId="1" xfId="0" applyFont="1" applyFill="1" applyBorder="1" applyAlignment="1">
      <alignment horizontal="left" vertical="top" wrapText="1" indent="5"/>
    </xf>
    <xf numFmtId="0" fontId="9" fillId="0" borderId="0" xfId="0" applyFont="1" applyAlignment="1">
      <alignment vertical="top" wrapText="1"/>
    </xf>
    <xf numFmtId="0" fontId="6" fillId="0" borderId="1" xfId="0" applyFont="1" applyFill="1" applyBorder="1" applyAlignment="1">
      <alignment vertical="top" wrapText="1"/>
    </xf>
    <xf numFmtId="172" fontId="6" fillId="0" borderId="1" xfId="0" applyNumberFormat="1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left" wrapText="1" indent="3"/>
    </xf>
    <xf numFmtId="0" fontId="8" fillId="0" borderId="1" xfId="0" applyFont="1" applyFill="1" applyBorder="1" applyAlignment="1">
      <alignment horizontal="left" vertical="top" wrapText="1"/>
    </xf>
    <xf numFmtId="0" fontId="9" fillId="0" borderId="1" xfId="0" applyFont="1" applyBorder="1" applyAlignment="1">
      <alignment vertical="top" wrapText="1"/>
    </xf>
    <xf numFmtId="165" fontId="9" fillId="0" borderId="1" xfId="0" applyNumberFormat="1" applyFont="1" applyFill="1" applyBorder="1" applyAlignment="1">
      <alignment vertical="top" wrapText="1"/>
    </xf>
    <xf numFmtId="0" fontId="8" fillId="0" borderId="2" xfId="0" applyFont="1" applyFill="1" applyBorder="1" applyAlignment="1">
      <alignment horizontal="left" vertical="top" wrapText="1" indent="5"/>
    </xf>
    <xf numFmtId="0" fontId="9" fillId="0" borderId="3" xfId="0" applyFont="1" applyFill="1" applyBorder="1" applyAlignment="1">
      <alignment horizontal="left" wrapText="1" indent="3"/>
    </xf>
    <xf numFmtId="4" fontId="5" fillId="0" borderId="1" xfId="0" applyNumberFormat="1" applyFont="1" applyFill="1" applyBorder="1" applyAlignment="1">
      <alignment vertical="center" wrapText="1"/>
    </xf>
    <xf numFmtId="173" fontId="6" fillId="0" borderId="1" xfId="0" applyNumberFormat="1" applyFont="1" applyFill="1" applyBorder="1" applyAlignment="1">
      <alignment vertical="center" wrapText="1"/>
    </xf>
    <xf numFmtId="2" fontId="9" fillId="0" borderId="0" xfId="0" applyNumberFormat="1" applyFont="1" applyAlignment="1">
      <alignment vertical="top" wrapText="1"/>
    </xf>
    <xf numFmtId="174" fontId="9" fillId="0" borderId="0" xfId="0" applyNumberFormat="1" applyFont="1" applyAlignment="1">
      <alignment vertical="top" wrapText="1"/>
    </xf>
    <xf numFmtId="0" fontId="4" fillId="0" borderId="1" xfId="0" applyFont="1" applyFill="1" applyBorder="1" applyAlignment="1">
      <alignment vertical="top" wrapText="1"/>
    </xf>
    <xf numFmtId="175" fontId="4" fillId="0" borderId="0" xfId="0" applyNumberFormat="1" applyFont="1" applyAlignment="1">
      <alignment vertical="top" wrapText="1"/>
    </xf>
    <xf numFmtId="0" fontId="8" fillId="0" borderId="5" xfId="0" applyFont="1" applyFill="1" applyBorder="1" applyAlignment="1">
      <alignment vertical="top" wrapText="1"/>
    </xf>
    <xf numFmtId="2" fontId="4" fillId="0" borderId="0" xfId="0" applyNumberFormat="1" applyFont="1" applyAlignment="1">
      <alignment vertical="top" wrapText="1"/>
    </xf>
    <xf numFmtId="176" fontId="4" fillId="0" borderId="0" xfId="0" applyNumberFormat="1" applyFont="1" applyAlignment="1">
      <alignment vertical="top" wrapText="1"/>
    </xf>
    <xf numFmtId="4" fontId="5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vertical="top" wrapText="1"/>
    </xf>
    <xf numFmtId="4" fontId="6" fillId="0" borderId="1" xfId="0" applyNumberFormat="1" applyFont="1" applyFill="1" applyBorder="1" applyAlignment="1">
      <alignment horizontal="center" vertical="center"/>
    </xf>
    <xf numFmtId="4" fontId="9" fillId="0" borderId="6" xfId="0" applyNumberFormat="1" applyFont="1" applyFill="1" applyBorder="1" applyAlignment="1">
      <alignment vertical="top" wrapText="1"/>
    </xf>
    <xf numFmtId="49" fontId="6" fillId="2" borderId="1" xfId="0" applyNumberFormat="1" applyFont="1" applyFill="1" applyBorder="1" applyAlignment="1">
      <alignment horizontal="right" vertical="center"/>
    </xf>
    <xf numFmtId="173" fontId="6" fillId="0" borderId="6" xfId="0" applyNumberFormat="1" applyFont="1" applyFill="1" applyBorder="1" applyAlignment="1">
      <alignment vertical="top" wrapText="1"/>
    </xf>
    <xf numFmtId="171" fontId="9" fillId="0" borderId="0" xfId="0" applyNumberFormat="1" applyFont="1" applyAlignment="1">
      <alignment vertical="top" wrapText="1"/>
    </xf>
    <xf numFmtId="0" fontId="7" fillId="0" borderId="1" xfId="0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vertical="top" wrapText="1"/>
    </xf>
    <xf numFmtId="165" fontId="9" fillId="0" borderId="6" xfId="0" applyNumberFormat="1" applyFont="1" applyFill="1" applyBorder="1" applyAlignment="1">
      <alignment vertical="top" wrapText="1"/>
    </xf>
    <xf numFmtId="4" fontId="9" fillId="0" borderId="0" xfId="0" applyNumberFormat="1" applyFont="1" applyAlignment="1">
      <alignment vertical="top" wrapText="1"/>
    </xf>
    <xf numFmtId="4" fontId="6" fillId="0" borderId="6" xfId="0" applyNumberFormat="1" applyFont="1" applyFill="1" applyBorder="1" applyAlignment="1">
      <alignment vertical="top" wrapText="1"/>
    </xf>
    <xf numFmtId="0" fontId="6" fillId="0" borderId="0" xfId="0" applyFont="1" applyAlignment="1">
      <alignment wrapText="1"/>
    </xf>
    <xf numFmtId="170" fontId="6" fillId="0" borderId="0" xfId="0" applyNumberFormat="1" applyFont="1" applyAlignment="1">
      <alignment vertical="top" wrapText="1"/>
    </xf>
    <xf numFmtId="177" fontId="9" fillId="0" borderId="1" xfId="0" applyNumberFormat="1" applyFont="1" applyBorder="1" applyAlignment="1">
      <alignment vertical="top" wrapText="1"/>
    </xf>
    <xf numFmtId="165" fontId="7" fillId="0" borderId="1" xfId="0" applyNumberFormat="1" applyFont="1" applyFill="1" applyBorder="1" applyAlignment="1">
      <alignment vertical="top"/>
    </xf>
    <xf numFmtId="165" fontId="5" fillId="0" borderId="1" xfId="0" applyNumberFormat="1" applyFont="1" applyFill="1" applyBorder="1" applyAlignment="1">
      <alignment vertical="top"/>
    </xf>
    <xf numFmtId="0" fontId="4" fillId="0" borderId="1" xfId="0" applyFont="1" applyBorder="1" applyAlignment="1">
      <alignment vertical="top"/>
    </xf>
    <xf numFmtId="165" fontId="7" fillId="4" borderId="6" xfId="0" applyNumberFormat="1" applyFont="1" applyFill="1" applyBorder="1" applyAlignment="1">
      <alignment vertical="top"/>
    </xf>
    <xf numFmtId="0" fontId="3" fillId="0" borderId="6" xfId="0" applyFont="1" applyFill="1" applyBorder="1" applyAlignment="1">
      <alignment vertical="top" wrapText="1"/>
    </xf>
    <xf numFmtId="0" fontId="4" fillId="0" borderId="6" xfId="0" applyFont="1" applyFill="1" applyBorder="1" applyAlignment="1">
      <alignment vertical="top" wrapText="1"/>
    </xf>
    <xf numFmtId="4" fontId="6" fillId="0" borderId="0" xfId="0" applyNumberFormat="1" applyFont="1" applyFill="1" applyBorder="1" applyAlignment="1">
      <alignment vertical="center" wrapText="1"/>
    </xf>
    <xf numFmtId="173" fontId="6" fillId="0" borderId="0" xfId="0" applyNumberFormat="1" applyFont="1" applyFill="1" applyBorder="1" applyAlignment="1">
      <alignment vertical="center" wrapText="1"/>
    </xf>
    <xf numFmtId="0" fontId="6" fillId="0" borderId="1" xfId="0" applyNumberFormat="1" applyFont="1" applyFill="1" applyBorder="1" applyAlignment="1">
      <alignment horizontal="center"/>
    </xf>
    <xf numFmtId="2" fontId="4" fillId="0" borderId="0" xfId="0" applyNumberFormat="1" applyFont="1" applyAlignment="1">
      <alignment vertical="top"/>
    </xf>
    <xf numFmtId="0" fontId="4" fillId="0" borderId="1" xfId="0" applyFont="1" applyFill="1" applyBorder="1" applyAlignment="1">
      <alignment horizontal="center" vertical="top"/>
    </xf>
    <xf numFmtId="0" fontId="10" fillId="5" borderId="1" xfId="0" applyFont="1" applyFill="1" applyBorder="1" applyAlignment="1">
      <alignment vertical="top"/>
    </xf>
    <xf numFmtId="0" fontId="4" fillId="5" borderId="1" xfId="0" applyFont="1" applyFill="1" applyBorder="1" applyAlignment="1">
      <alignment vertical="top"/>
    </xf>
    <xf numFmtId="0" fontId="4" fillId="5" borderId="1" xfId="0" applyFont="1" applyFill="1" applyBorder="1" applyAlignment="1">
      <alignment horizontal="center" vertical="top"/>
    </xf>
    <xf numFmtId="4" fontId="3" fillId="5" borderId="1" xfId="0" applyNumberFormat="1" applyFont="1" applyFill="1" applyBorder="1" applyAlignment="1">
      <alignment vertical="top"/>
    </xf>
    <xf numFmtId="0" fontId="8" fillId="5" borderId="1" xfId="0" applyFont="1" applyFill="1" applyBorder="1" applyAlignment="1">
      <alignment horizontal="left" vertical="top" wrapText="1" indent="5"/>
    </xf>
    <xf numFmtId="4" fontId="4" fillId="5" borderId="1" xfId="0" applyNumberFormat="1" applyFont="1" applyFill="1" applyBorder="1" applyAlignment="1">
      <alignment vertical="top"/>
    </xf>
    <xf numFmtId="0" fontId="4" fillId="0" borderId="0" xfId="0" applyFont="1" applyBorder="1" applyAlignment="1">
      <alignment vertical="top" wrapText="1"/>
    </xf>
    <xf numFmtId="0" fontId="6" fillId="0" borderId="0" xfId="0" applyFont="1" applyBorder="1" applyAlignment="1">
      <alignment vertical="top" wrapText="1"/>
    </xf>
    <xf numFmtId="0" fontId="9" fillId="0" borderId="0" xfId="0" applyFont="1" applyBorder="1" applyAlignment="1">
      <alignment vertical="top" wrapText="1"/>
    </xf>
    <xf numFmtId="4" fontId="5" fillId="0" borderId="0" xfId="0" applyNumberFormat="1" applyFont="1" applyFill="1" applyBorder="1" applyAlignment="1">
      <alignment vertical="center" wrapText="1"/>
    </xf>
    <xf numFmtId="166" fontId="9" fillId="0" borderId="0" xfId="0" applyNumberFormat="1" applyFont="1" applyBorder="1" applyAlignment="1">
      <alignment vertical="top" wrapText="1"/>
    </xf>
    <xf numFmtId="166" fontId="6" fillId="0" borderId="0" xfId="0" applyNumberFormat="1" applyFont="1" applyFill="1" applyBorder="1" applyAlignment="1">
      <alignment vertical="center" wrapText="1"/>
    </xf>
    <xf numFmtId="173" fontId="9" fillId="0" borderId="0" xfId="0" applyNumberFormat="1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center" vertical="top" wrapText="1"/>
    </xf>
    <xf numFmtId="4" fontId="6" fillId="0" borderId="4" xfId="0" applyNumberFormat="1" applyFont="1" applyFill="1" applyBorder="1" applyAlignment="1">
      <alignment vertical="center" wrapText="1"/>
    </xf>
    <xf numFmtId="4" fontId="9" fillId="0" borderId="4" xfId="0" applyNumberFormat="1" applyFont="1" applyFill="1" applyBorder="1" applyAlignment="1">
      <alignment vertical="center" wrapText="1"/>
    </xf>
    <xf numFmtId="0" fontId="6" fillId="0" borderId="0" xfId="0" applyFont="1" applyAlignment="1">
      <alignment vertical="top"/>
    </xf>
    <xf numFmtId="0" fontId="6" fillId="0" borderId="0" xfId="0" applyFont="1" applyFill="1" applyBorder="1" applyAlignment="1">
      <alignment horizontal="center" wrapText="1"/>
    </xf>
    <xf numFmtId="165" fontId="6" fillId="0" borderId="0" xfId="0" applyNumberFormat="1" applyFont="1" applyFill="1" applyBorder="1" applyAlignment="1">
      <alignment horizontal="center" vertical="top" wrapText="1"/>
    </xf>
    <xf numFmtId="165" fontId="11" fillId="0" borderId="0" xfId="0" applyNumberFormat="1" applyFont="1" applyFill="1" applyBorder="1" applyAlignment="1">
      <alignment horizontal="center" vertical="top" wrapText="1"/>
    </xf>
    <xf numFmtId="0" fontId="6" fillId="0" borderId="0" xfId="0" applyFont="1" applyFill="1" applyAlignment="1">
      <alignment vertical="top"/>
    </xf>
    <xf numFmtId="0" fontId="12" fillId="0" borderId="1" xfId="0" applyFont="1" applyFill="1" applyBorder="1" applyAlignment="1">
      <alignment horizontal="center" vertical="top" wrapText="1"/>
    </xf>
    <xf numFmtId="165" fontId="6" fillId="0" borderId="1" xfId="0" applyNumberFormat="1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right" vertical="top" wrapText="1"/>
    </xf>
    <xf numFmtId="0" fontId="5" fillId="0" borderId="1" xfId="0" applyFont="1" applyFill="1" applyBorder="1" applyAlignment="1">
      <alignment vertical="top"/>
    </xf>
    <xf numFmtId="0" fontId="5" fillId="0" borderId="0" xfId="0" applyFont="1" applyFill="1" applyAlignment="1">
      <alignment vertical="top"/>
    </xf>
    <xf numFmtId="0" fontId="18" fillId="0" borderId="0" xfId="0" applyFont="1" applyFill="1" applyAlignment="1">
      <alignment vertical="top"/>
    </xf>
    <xf numFmtId="4" fontId="18" fillId="0" borderId="0" xfId="0" applyNumberFormat="1" applyFont="1" applyFill="1" applyAlignment="1">
      <alignment vertical="top"/>
    </xf>
    <xf numFmtId="0" fontId="15" fillId="0" borderId="1" xfId="0" applyFont="1" applyFill="1" applyBorder="1" applyAlignment="1">
      <alignment horizontal="left" vertical="top" wrapText="1"/>
    </xf>
    <xf numFmtId="4" fontId="15" fillId="0" borderId="1" xfId="0" applyNumberFormat="1" applyFont="1" applyBorder="1" applyAlignment="1">
      <alignment vertical="top"/>
    </xf>
    <xf numFmtId="0" fontId="15" fillId="0" borderId="0" xfId="0" applyFont="1" applyAlignment="1">
      <alignment vertical="top"/>
    </xf>
    <xf numFmtId="0" fontId="21" fillId="0" borderId="1" xfId="0" applyFont="1" applyBorder="1" applyAlignment="1">
      <alignment vertical="top"/>
    </xf>
    <xf numFmtId="0" fontId="21" fillId="0" borderId="0" xfId="0" applyFont="1" applyAlignment="1">
      <alignment vertical="top"/>
    </xf>
    <xf numFmtId="49" fontId="6" fillId="0" borderId="1" xfId="0" applyNumberFormat="1" applyFont="1" applyFill="1" applyBorder="1" applyAlignment="1">
      <alignment horizontal="center"/>
    </xf>
    <xf numFmtId="4" fontId="6" fillId="0" borderId="1" xfId="0" applyNumberFormat="1" applyFont="1" applyFill="1" applyBorder="1" applyAlignment="1">
      <alignment horizontal="right"/>
    </xf>
    <xf numFmtId="4" fontId="6" fillId="0" borderId="1" xfId="0" applyNumberFormat="1" applyFont="1" applyFill="1" applyBorder="1" applyAlignment="1">
      <alignment horizontal="right" wrapText="1"/>
    </xf>
    <xf numFmtId="4" fontId="6" fillId="0" borderId="1" xfId="0" applyNumberFormat="1" applyFont="1" applyFill="1" applyBorder="1" applyAlignment="1"/>
    <xf numFmtId="49" fontId="6" fillId="0" borderId="1" xfId="0" applyNumberFormat="1" applyFont="1" applyFill="1" applyBorder="1" applyAlignment="1">
      <alignment horizontal="left" vertical="top" wrapText="1"/>
    </xf>
    <xf numFmtId="0" fontId="6" fillId="0" borderId="1" xfId="0" applyNumberFormat="1" applyFont="1" applyFill="1" applyBorder="1" applyAlignment="1">
      <alignment horizontal="left" vertical="top" wrapText="1"/>
    </xf>
    <xf numFmtId="0" fontId="6" fillId="0" borderId="1" xfId="0" applyFont="1" applyBorder="1" applyAlignment="1"/>
    <xf numFmtId="0" fontId="6" fillId="0" borderId="1" xfId="0" applyFont="1" applyBorder="1" applyAlignment="1">
      <alignment vertical="top" wrapText="1"/>
    </xf>
    <xf numFmtId="0" fontId="6" fillId="0" borderId="5" xfId="0" applyNumberFormat="1" applyFont="1" applyFill="1" applyBorder="1" applyAlignment="1">
      <alignment horizontal="left" vertical="top" wrapText="1"/>
    </xf>
    <xf numFmtId="4" fontId="6" fillId="0" borderId="0" xfId="0" applyNumberFormat="1" applyFont="1" applyAlignment="1">
      <alignment vertical="top"/>
    </xf>
    <xf numFmtId="0" fontId="27" fillId="0" borderId="1" xfId="0" applyFont="1" applyFill="1" applyBorder="1" applyAlignment="1">
      <alignment horizontal="left" vertical="top" wrapText="1"/>
    </xf>
    <xf numFmtId="0" fontId="6" fillId="0" borderId="1" xfId="0" quotePrefix="1" applyNumberFormat="1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left" vertical="top" wrapText="1"/>
    </xf>
    <xf numFmtId="0" fontId="9" fillId="0" borderId="0" xfId="0" applyFont="1" applyAlignment="1">
      <alignment vertical="top"/>
    </xf>
    <xf numFmtId="0" fontId="6" fillId="0" borderId="1" xfId="0" applyFont="1" applyFill="1" applyBorder="1" applyAlignment="1">
      <alignment vertical="top"/>
    </xf>
    <xf numFmtId="0" fontId="9" fillId="0" borderId="0" xfId="0" applyFont="1" applyFill="1" applyAlignment="1">
      <alignment vertical="top"/>
    </xf>
    <xf numFmtId="0" fontId="12" fillId="0" borderId="1" xfId="0" applyFont="1" applyFill="1" applyBorder="1" applyAlignment="1">
      <alignment horizontal="left" vertical="top" wrapText="1"/>
    </xf>
    <xf numFmtId="4" fontId="6" fillId="0" borderId="1" xfId="0" applyNumberFormat="1" applyFont="1" applyBorder="1" applyAlignment="1"/>
    <xf numFmtId="0" fontId="6" fillId="0" borderId="0" xfId="0" applyFont="1" applyFill="1" applyBorder="1" applyAlignment="1">
      <alignment vertical="top"/>
    </xf>
    <xf numFmtId="0" fontId="6" fillId="0" borderId="0" xfId="0" applyFont="1" applyBorder="1" applyAlignment="1">
      <alignment vertical="top"/>
    </xf>
    <xf numFmtId="0" fontId="6" fillId="0" borderId="0" xfId="0" applyFont="1" applyFill="1" applyBorder="1" applyAlignment="1">
      <alignment horizontal="right" vertical="top"/>
    </xf>
    <xf numFmtId="0" fontId="6" fillId="0" borderId="0" xfId="0" applyFont="1" applyFill="1" applyAlignment="1">
      <alignment vertical="top" wrapText="1"/>
    </xf>
    <xf numFmtId="0" fontId="6" fillId="0" borderId="0" xfId="0" applyFont="1" applyFill="1" applyAlignment="1">
      <alignment horizontal="center" wrapText="1"/>
    </xf>
    <xf numFmtId="0" fontId="6" fillId="0" borderId="0" xfId="0" applyFont="1" applyFill="1" applyAlignment="1">
      <alignment horizontal="right" vertical="top" wrapText="1"/>
    </xf>
    <xf numFmtId="0" fontId="6" fillId="0" borderId="0" xfId="0" applyFont="1" applyAlignment="1">
      <alignment horizontal="right" vertical="top"/>
    </xf>
    <xf numFmtId="0" fontId="6" fillId="0" borderId="0" xfId="0" applyFont="1" applyFill="1" applyAlignment="1">
      <alignment horizontal="right" vertical="top"/>
    </xf>
    <xf numFmtId="0" fontId="6" fillId="0" borderId="0" xfId="0" applyNumberFormat="1" applyFont="1" applyFill="1" applyBorder="1" applyAlignment="1">
      <alignment horizontal="left" vertical="top" wrapText="1"/>
    </xf>
    <xf numFmtId="0" fontId="6" fillId="0" borderId="0" xfId="0" applyFont="1" applyFill="1" applyAlignment="1">
      <alignment horizontal="center"/>
    </xf>
    <xf numFmtId="0" fontId="10" fillId="0" borderId="0" xfId="0" applyFont="1" applyFill="1" applyAlignment="1">
      <alignment horizontal="center" vertical="top"/>
    </xf>
    <xf numFmtId="0" fontId="10" fillId="0" borderId="0" xfId="0" applyFont="1" applyFill="1" applyAlignment="1">
      <alignment horizontal="right" vertical="top"/>
    </xf>
    <xf numFmtId="0" fontId="6" fillId="10" borderId="0" xfId="0" applyFont="1" applyFill="1" applyAlignment="1">
      <alignment vertical="top"/>
    </xf>
    <xf numFmtId="0" fontId="31" fillId="0" borderId="0" xfId="0" applyFont="1" applyFill="1" applyAlignment="1">
      <alignment horizontal="center" vertical="top"/>
    </xf>
    <xf numFmtId="0" fontId="31" fillId="0" borderId="0" xfId="0" applyFont="1" applyFill="1" applyAlignment="1">
      <alignment horizontal="right" vertical="top"/>
    </xf>
    <xf numFmtId="0" fontId="32" fillId="0" borderId="0" xfId="0" applyFont="1" applyFill="1" applyBorder="1" applyAlignment="1">
      <alignment horizontal="center" vertical="top"/>
    </xf>
    <xf numFmtId="0" fontId="32" fillId="0" borderId="0" xfId="0" applyFont="1" applyFill="1" applyBorder="1" applyAlignment="1">
      <alignment horizontal="right" vertical="top"/>
    </xf>
    <xf numFmtId="0" fontId="6" fillId="10" borderId="0" xfId="0" applyFont="1" applyFill="1" applyBorder="1" applyAlignment="1">
      <alignment vertical="top"/>
    </xf>
    <xf numFmtId="2" fontId="6" fillId="0" borderId="0" xfId="0" applyNumberFormat="1" applyFont="1" applyFill="1" applyBorder="1" applyAlignment="1">
      <alignment vertical="top"/>
    </xf>
    <xf numFmtId="0" fontId="5" fillId="0" borderId="0" xfId="0" applyFont="1" applyFill="1" applyBorder="1" applyAlignment="1">
      <alignment vertical="top"/>
    </xf>
    <xf numFmtId="4" fontId="5" fillId="0" borderId="0" xfId="0" applyNumberFormat="1" applyFont="1" applyFill="1" applyBorder="1" applyAlignment="1">
      <alignment vertical="top"/>
    </xf>
    <xf numFmtId="4" fontId="34" fillId="0" borderId="0" xfId="0" applyNumberFormat="1" applyFont="1" applyFill="1" applyBorder="1" applyAlignment="1">
      <alignment horizontal="right" vertical="top" wrapText="1"/>
    </xf>
    <xf numFmtId="4" fontId="6" fillId="0" borderId="0" xfId="0" applyNumberFormat="1" applyFont="1" applyFill="1" applyBorder="1" applyAlignment="1">
      <alignment vertical="top"/>
    </xf>
    <xf numFmtId="4" fontId="34" fillId="0" borderId="0" xfId="0" applyNumberFormat="1" applyFont="1" applyFill="1" applyBorder="1" applyAlignment="1">
      <alignment vertical="top" wrapText="1"/>
    </xf>
    <xf numFmtId="173" fontId="6" fillId="0" borderId="0" xfId="0" applyNumberFormat="1" applyFont="1" applyFill="1" applyBorder="1" applyAlignment="1">
      <alignment vertical="top"/>
    </xf>
    <xf numFmtId="3" fontId="6" fillId="0" borderId="0" xfId="0" applyNumberFormat="1" applyFont="1" applyFill="1" applyBorder="1" applyAlignment="1">
      <alignment vertical="top"/>
    </xf>
    <xf numFmtId="4" fontId="35" fillId="0" borderId="0" xfId="0" applyNumberFormat="1" applyFont="1" applyFill="1" applyBorder="1" applyAlignment="1">
      <alignment vertical="top" wrapText="1"/>
    </xf>
    <xf numFmtId="0" fontId="6" fillId="0" borderId="1" xfId="0" applyFont="1" applyFill="1" applyBorder="1" applyAlignment="1">
      <alignment horizontal="right" vertical="top"/>
    </xf>
    <xf numFmtId="4" fontId="6" fillId="0" borderId="1" xfId="0" applyNumberFormat="1" applyFont="1" applyFill="1" applyBorder="1" applyAlignment="1">
      <alignment vertical="top"/>
    </xf>
    <xf numFmtId="0" fontId="6" fillId="0" borderId="4" xfId="0" applyFont="1" applyFill="1" applyBorder="1" applyAlignment="1">
      <alignment vertical="top"/>
    </xf>
    <xf numFmtId="0" fontId="6" fillId="0" borderId="6" xfId="0" applyFont="1" applyFill="1" applyBorder="1" applyAlignment="1">
      <alignment vertical="top"/>
    </xf>
    <xf numFmtId="0" fontId="6" fillId="10" borderId="4" xfId="0" applyFont="1" applyFill="1" applyBorder="1" applyAlignment="1">
      <alignment vertical="top"/>
    </xf>
    <xf numFmtId="0" fontId="6" fillId="10" borderId="4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 wrapText="1"/>
    </xf>
    <xf numFmtId="0" fontId="6" fillId="11" borderId="1" xfId="0" applyFont="1" applyFill="1" applyBorder="1" applyAlignment="1">
      <alignment horizontal="center" vertical="top" wrapText="1"/>
    </xf>
    <xf numFmtId="0" fontId="6" fillId="11" borderId="4" xfId="0" applyFont="1" applyFill="1" applyBorder="1" applyAlignment="1">
      <alignment horizontal="center" vertical="top" wrapText="1"/>
    </xf>
    <xf numFmtId="4" fontId="6" fillId="0" borderId="0" xfId="0" applyNumberFormat="1" applyFont="1" applyFill="1" applyBorder="1" applyAlignment="1">
      <alignment horizontal="center" vertical="top" wrapText="1"/>
    </xf>
    <xf numFmtId="165" fontId="36" fillId="0" borderId="1" xfId="0" applyNumberFormat="1" applyFont="1" applyFill="1" applyBorder="1" applyAlignment="1">
      <alignment horizontal="center" vertical="top" wrapText="1"/>
    </xf>
    <xf numFmtId="165" fontId="11" fillId="0" borderId="1" xfId="0" applyNumberFormat="1" applyFont="1" applyFill="1" applyBorder="1" applyAlignment="1">
      <alignment horizontal="center" vertical="top" wrapText="1"/>
    </xf>
    <xf numFmtId="165" fontId="11" fillId="0" borderId="2" xfId="0" applyNumberFormat="1" applyFont="1" applyFill="1" applyBorder="1" applyAlignment="1">
      <alignment horizontal="center" vertical="top" wrapText="1"/>
    </xf>
    <xf numFmtId="165" fontId="36" fillId="0" borderId="2" xfId="0" applyNumberFormat="1" applyFont="1" applyFill="1" applyBorder="1" applyAlignment="1">
      <alignment horizontal="center" vertical="top" wrapText="1"/>
    </xf>
    <xf numFmtId="4" fontId="37" fillId="0" borderId="1" xfId="0" applyNumberFormat="1" applyFont="1" applyFill="1" applyBorder="1" applyAlignment="1">
      <alignment horizontal="center" vertical="top" wrapText="1"/>
    </xf>
    <xf numFmtId="4" fontId="29" fillId="5" borderId="1" xfId="0" applyNumberFormat="1" applyFont="1" applyFill="1" applyBorder="1" applyAlignment="1">
      <alignment horizontal="center" vertical="top" wrapText="1"/>
    </xf>
    <xf numFmtId="4" fontId="29" fillId="0" borderId="1" xfId="0" applyNumberFormat="1" applyFont="1" applyFill="1" applyBorder="1" applyAlignment="1">
      <alignment horizontal="center" vertical="top" wrapText="1"/>
    </xf>
    <xf numFmtId="4" fontId="29" fillId="11" borderId="1" xfId="0" applyNumberFormat="1" applyFont="1" applyFill="1" applyBorder="1" applyAlignment="1">
      <alignment horizontal="center" vertical="top" wrapText="1"/>
    </xf>
    <xf numFmtId="4" fontId="29" fillId="5" borderId="1" xfId="0" applyNumberFormat="1" applyFont="1" applyFill="1" applyBorder="1" applyAlignment="1">
      <alignment horizontal="right" vertical="top" wrapText="1"/>
    </xf>
    <xf numFmtId="4" fontId="37" fillId="0" borderId="1" xfId="3" applyNumberFormat="1" applyFont="1" applyFill="1" applyBorder="1" applyAlignment="1">
      <alignment horizontal="center" vertical="top" wrapText="1"/>
    </xf>
    <xf numFmtId="165" fontId="6" fillId="5" borderId="1" xfId="0" applyNumberFormat="1" applyFont="1" applyFill="1" applyBorder="1" applyAlignment="1">
      <alignment horizontal="center" vertical="top" wrapText="1"/>
    </xf>
    <xf numFmtId="165" fontId="6" fillId="11" borderId="1" xfId="0" applyNumberFormat="1" applyFont="1" applyFill="1" applyBorder="1" applyAlignment="1">
      <alignment horizontal="center" vertical="top" wrapText="1"/>
    </xf>
    <xf numFmtId="165" fontId="6" fillId="11" borderId="4" xfId="0" applyNumberFormat="1" applyFont="1" applyFill="1" applyBorder="1" applyAlignment="1">
      <alignment horizontal="center" vertical="top" wrapText="1"/>
    </xf>
    <xf numFmtId="165" fontId="38" fillId="0" borderId="0" xfId="0" applyNumberFormat="1" applyFont="1" applyFill="1" applyBorder="1" applyAlignment="1">
      <alignment vertical="top"/>
    </xf>
    <xf numFmtId="165" fontId="38" fillId="0" borderId="1" xfId="0" applyNumberFormat="1" applyFont="1" applyFill="1" applyBorder="1" applyAlignment="1">
      <alignment vertical="top"/>
    </xf>
    <xf numFmtId="165" fontId="36" fillId="0" borderId="0" xfId="0" applyNumberFormat="1" applyFont="1" applyFill="1" applyBorder="1" applyAlignment="1">
      <alignment vertical="top"/>
    </xf>
    <xf numFmtId="165" fontId="36" fillId="0" borderId="0" xfId="0" applyNumberFormat="1" applyFont="1" applyFill="1" applyAlignment="1">
      <alignment vertical="top"/>
    </xf>
    <xf numFmtId="165" fontId="5" fillId="0" borderId="0" xfId="0" applyNumberFormat="1" applyFont="1" applyFill="1" applyAlignment="1">
      <alignment vertical="top"/>
    </xf>
    <xf numFmtId="4" fontId="6" fillId="0" borderId="1" xfId="0" applyNumberFormat="1" applyFont="1" applyFill="1" applyBorder="1" applyAlignment="1">
      <alignment horizontal="center" vertical="top" wrapText="1"/>
    </xf>
    <xf numFmtId="2" fontId="6" fillId="0" borderId="1" xfId="0" applyNumberFormat="1" applyFont="1" applyFill="1" applyBorder="1" applyAlignment="1">
      <alignment horizontal="center" vertical="top" wrapText="1"/>
    </xf>
    <xf numFmtId="2" fontId="6" fillId="5" borderId="1" xfId="0" applyNumberFormat="1" applyFont="1" applyFill="1" applyBorder="1" applyAlignment="1">
      <alignment horizontal="right" vertical="top" wrapText="1"/>
    </xf>
    <xf numFmtId="2" fontId="6" fillId="11" borderId="1" xfId="0" applyNumberFormat="1" applyFont="1" applyFill="1" applyBorder="1" applyAlignment="1">
      <alignment horizontal="center" vertical="top" wrapText="1"/>
    </xf>
    <xf numFmtId="2" fontId="6" fillId="5" borderId="1" xfId="0" applyNumberFormat="1" applyFont="1" applyFill="1" applyBorder="1" applyAlignment="1">
      <alignment horizontal="center" vertical="top" wrapText="1"/>
    </xf>
    <xf numFmtId="2" fontId="39" fillId="11" borderId="1" xfId="0" applyNumberFormat="1" applyFont="1" applyFill="1" applyBorder="1" applyAlignment="1">
      <alignment horizontal="center" vertical="top" wrapText="1"/>
    </xf>
    <xf numFmtId="2" fontId="6" fillId="11" borderId="4" xfId="0" applyNumberFormat="1" applyFont="1" applyFill="1" applyBorder="1" applyAlignment="1">
      <alignment horizontal="center" vertical="top" wrapText="1"/>
    </xf>
    <xf numFmtId="179" fontId="6" fillId="0" borderId="1" xfId="0" applyNumberFormat="1" applyFont="1" applyFill="1" applyBorder="1" applyAlignment="1">
      <alignment horizontal="center" vertical="top" wrapText="1"/>
    </xf>
    <xf numFmtId="4" fontId="6" fillId="0" borderId="0" xfId="0" applyNumberFormat="1" applyFont="1" applyFill="1" applyBorder="1" applyAlignment="1">
      <alignment horizontal="center" vertical="top"/>
    </xf>
    <xf numFmtId="0" fontId="35" fillId="0" borderId="9" xfId="0" applyFont="1" applyFill="1" applyBorder="1" applyAlignment="1">
      <alignment vertical="top" wrapText="1"/>
    </xf>
    <xf numFmtId="0" fontId="35" fillId="0" borderId="1" xfId="0" applyFont="1" applyFill="1" applyBorder="1" applyAlignment="1">
      <alignment horizontal="center" vertical="top" wrapText="1"/>
    </xf>
    <xf numFmtId="4" fontId="6" fillId="0" borderId="1" xfId="0" applyNumberFormat="1" applyFont="1" applyFill="1" applyBorder="1" applyAlignment="1">
      <alignment vertical="top" wrapText="1"/>
    </xf>
    <xf numFmtId="3" fontId="35" fillId="3" borderId="1" xfId="0" applyNumberFormat="1" applyFont="1" applyFill="1" applyBorder="1" applyAlignment="1">
      <alignment vertical="top" wrapText="1"/>
    </xf>
    <xf numFmtId="3" fontId="35" fillId="0" borderId="1" xfId="0" applyNumberFormat="1" applyFont="1" applyFill="1" applyBorder="1" applyAlignment="1">
      <alignment vertical="top" wrapText="1"/>
    </xf>
    <xf numFmtId="3" fontId="35" fillId="5" borderId="1" xfId="0" applyNumberFormat="1" applyFont="1" applyFill="1" applyBorder="1" applyAlignment="1">
      <alignment vertical="top" wrapText="1"/>
    </xf>
    <xf numFmtId="3" fontId="35" fillId="11" borderId="1" xfId="0" applyNumberFormat="1" applyFont="1" applyFill="1" applyBorder="1" applyAlignment="1">
      <alignment vertical="top" wrapText="1"/>
    </xf>
    <xf numFmtId="3" fontId="35" fillId="5" borderId="1" xfId="0" applyNumberFormat="1" applyFont="1" applyFill="1" applyBorder="1" applyAlignment="1">
      <alignment horizontal="right" vertical="top" wrapText="1"/>
    </xf>
    <xf numFmtId="4" fontId="35" fillId="5" borderId="1" xfId="0" applyNumberFormat="1" applyFont="1" applyFill="1" applyBorder="1" applyAlignment="1">
      <alignment vertical="top" wrapText="1"/>
    </xf>
    <xf numFmtId="4" fontId="35" fillId="0" borderId="1" xfId="0" applyNumberFormat="1" applyFont="1" applyFill="1" applyBorder="1" applyAlignment="1">
      <alignment vertical="top" wrapText="1"/>
    </xf>
    <xf numFmtId="4" fontId="8" fillId="5" borderId="1" xfId="0" applyNumberFormat="1" applyFont="1" applyFill="1" applyBorder="1" applyAlignment="1">
      <alignment vertical="top" wrapText="1"/>
    </xf>
    <xf numFmtId="4" fontId="35" fillId="11" borderId="1" xfId="0" applyNumberFormat="1" applyFont="1" applyFill="1" applyBorder="1" applyAlignment="1">
      <alignment vertical="top" wrapText="1"/>
    </xf>
    <xf numFmtId="4" fontId="8" fillId="0" borderId="1" xfId="0" applyNumberFormat="1" applyFont="1" applyFill="1" applyBorder="1" applyAlignment="1">
      <alignment vertical="top" wrapText="1"/>
    </xf>
    <xf numFmtId="4" fontId="8" fillId="11" borderId="1" xfId="0" applyNumberFormat="1" applyFont="1" applyFill="1" applyBorder="1" applyAlignment="1">
      <alignment vertical="top" wrapText="1"/>
    </xf>
    <xf numFmtId="165" fontId="35" fillId="5" borderId="1" xfId="0" applyNumberFormat="1" applyFont="1" applyFill="1" applyBorder="1" applyAlignment="1">
      <alignment vertical="top" wrapText="1"/>
    </xf>
    <xf numFmtId="165" fontId="35" fillId="11" borderId="1" xfId="0" applyNumberFormat="1" applyFont="1" applyFill="1" applyBorder="1" applyAlignment="1">
      <alignment vertical="top" wrapText="1"/>
    </xf>
    <xf numFmtId="0" fontId="35" fillId="5" borderId="1" xfId="0" applyFont="1" applyFill="1" applyBorder="1" applyAlignment="1">
      <alignment vertical="top"/>
    </xf>
    <xf numFmtId="179" fontId="35" fillId="0" borderId="2" xfId="0" applyNumberFormat="1" applyFont="1" applyFill="1" applyBorder="1" applyAlignment="1">
      <alignment vertical="top" wrapText="1"/>
    </xf>
    <xf numFmtId="4" fontId="5" fillId="0" borderId="1" xfId="0" applyNumberFormat="1" applyFont="1" applyFill="1" applyBorder="1" applyAlignment="1">
      <alignment vertical="top"/>
    </xf>
    <xf numFmtId="0" fontId="35" fillId="0" borderId="0" xfId="0" applyFont="1" applyFill="1" applyBorder="1" applyAlignment="1">
      <alignment vertical="top"/>
    </xf>
    <xf numFmtId="0" fontId="35" fillId="0" borderId="0" xfId="0" applyFont="1" applyFill="1" applyAlignment="1">
      <alignment vertical="top"/>
    </xf>
    <xf numFmtId="0" fontId="35" fillId="0" borderId="9" xfId="0" applyFont="1" applyFill="1" applyBorder="1" applyAlignment="1">
      <alignment horizontal="center" vertical="top" wrapText="1"/>
    </xf>
    <xf numFmtId="0" fontId="35" fillId="0" borderId="6" xfId="0" applyFont="1" applyFill="1" applyBorder="1" applyAlignment="1">
      <alignment horizontal="center" vertical="top" wrapText="1"/>
    </xf>
    <xf numFmtId="0" fontId="41" fillId="0" borderId="6" xfId="0" applyFont="1" applyFill="1" applyBorder="1" applyAlignment="1">
      <alignment horizontal="center" vertical="top" wrapText="1"/>
    </xf>
    <xf numFmtId="4" fontId="42" fillId="0" borderId="1" xfId="0" applyNumberFormat="1" applyFont="1" applyFill="1" applyBorder="1" applyAlignment="1">
      <alignment vertical="top" wrapText="1"/>
    </xf>
    <xf numFmtId="4" fontId="42" fillId="3" borderId="1" xfId="0" applyNumberFormat="1" applyFont="1" applyFill="1" applyBorder="1" applyAlignment="1">
      <alignment vertical="top" wrapText="1"/>
    </xf>
    <xf numFmtId="4" fontId="42" fillId="5" borderId="1" xfId="0" applyNumberFormat="1" applyFont="1" applyFill="1" applyBorder="1" applyAlignment="1">
      <alignment vertical="top" wrapText="1"/>
    </xf>
    <xf numFmtId="4" fontId="42" fillId="11" borderId="1" xfId="0" applyNumberFormat="1" applyFont="1" applyFill="1" applyBorder="1" applyAlignment="1">
      <alignment vertical="top" wrapText="1"/>
    </xf>
    <xf numFmtId="4" fontId="42" fillId="0" borderId="4" xfId="0" applyNumberFormat="1" applyFont="1" applyFill="1" applyBorder="1" applyAlignment="1">
      <alignment vertical="top" wrapText="1"/>
    </xf>
    <xf numFmtId="0" fontId="41" fillId="0" borderId="0" xfId="0" applyFont="1" applyFill="1" applyAlignment="1">
      <alignment vertical="top"/>
    </xf>
    <xf numFmtId="4" fontId="35" fillId="0" borderId="0" xfId="0" applyNumberFormat="1" applyFont="1" applyFill="1" applyAlignment="1">
      <alignment vertical="top"/>
    </xf>
    <xf numFmtId="0" fontId="35" fillId="5" borderId="0" xfId="0" applyFont="1" applyFill="1" applyAlignment="1">
      <alignment vertical="top"/>
    </xf>
    <xf numFmtId="49" fontId="6" fillId="0" borderId="1" xfId="0" applyNumberFormat="1" applyFont="1" applyFill="1" applyBorder="1" applyAlignment="1">
      <alignment horizontal="center" vertical="top"/>
    </xf>
    <xf numFmtId="4" fontId="6" fillId="5" borderId="1" xfId="0" applyNumberFormat="1" applyFont="1" applyFill="1" applyBorder="1" applyAlignment="1">
      <alignment vertical="top" wrapText="1"/>
    </xf>
    <xf numFmtId="4" fontId="6" fillId="11" borderId="1" xfId="0" applyNumberFormat="1" applyFont="1" applyFill="1" applyBorder="1" applyAlignment="1">
      <alignment vertical="top" wrapText="1"/>
    </xf>
    <xf numFmtId="165" fontId="6" fillId="5" borderId="1" xfId="0" applyNumberFormat="1" applyFont="1" applyFill="1" applyBorder="1" applyAlignment="1">
      <alignment vertical="top" wrapText="1"/>
    </xf>
    <xf numFmtId="165" fontId="6" fillId="0" borderId="1" xfId="0" applyNumberFormat="1" applyFont="1" applyFill="1" applyBorder="1" applyAlignment="1">
      <alignment vertical="top" wrapText="1"/>
    </xf>
    <xf numFmtId="4" fontId="6" fillId="0" borderId="0" xfId="0" applyNumberFormat="1" applyFont="1" applyFill="1" applyAlignment="1">
      <alignment vertical="top"/>
    </xf>
    <xf numFmtId="165" fontId="6" fillId="0" borderId="3" xfId="0" applyNumberFormat="1" applyFont="1" applyFill="1" applyBorder="1" applyAlignment="1">
      <alignment vertical="top" wrapText="1"/>
    </xf>
    <xf numFmtId="4" fontId="60" fillId="0" borderId="0" xfId="0" applyNumberFormat="1" applyFont="1" applyFill="1" applyBorder="1" applyAlignment="1">
      <alignment vertical="top"/>
    </xf>
    <xf numFmtId="4" fontId="6" fillId="5" borderId="1" xfId="0" applyNumberFormat="1" applyFont="1" applyFill="1" applyBorder="1" applyAlignment="1">
      <alignment vertical="top"/>
    </xf>
    <xf numFmtId="4" fontId="6" fillId="11" borderId="1" xfId="0" applyNumberFormat="1" applyFont="1" applyFill="1" applyBorder="1" applyAlignment="1">
      <alignment vertical="top"/>
    </xf>
    <xf numFmtId="49" fontId="6" fillId="0" borderId="3" xfId="0" applyNumberFormat="1" applyFont="1" applyFill="1" applyBorder="1" applyAlignment="1">
      <alignment horizontal="center" vertical="top"/>
    </xf>
    <xf numFmtId="4" fontId="6" fillId="5" borderId="6" xfId="0" applyNumberFormat="1" applyFont="1" applyFill="1" applyBorder="1" applyAlignment="1">
      <alignment vertical="top"/>
    </xf>
    <xf numFmtId="0" fontId="27" fillId="14" borderId="1" xfId="0" applyFont="1" applyFill="1" applyBorder="1" applyAlignment="1">
      <alignment horizontal="left" vertical="top" wrapText="1"/>
    </xf>
    <xf numFmtId="4" fontId="26" fillId="0" borderId="0" xfId="0" applyNumberFormat="1" applyFont="1" applyFill="1" applyBorder="1" applyAlignment="1">
      <alignment vertical="top"/>
    </xf>
    <xf numFmtId="4" fontId="6" fillId="10" borderId="1" xfId="0" applyNumberFormat="1" applyFont="1" applyFill="1" applyBorder="1" applyAlignment="1">
      <alignment vertical="top"/>
    </xf>
    <xf numFmtId="0" fontId="6" fillId="14" borderId="1" xfId="0" applyNumberFormat="1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center" vertical="center"/>
    </xf>
    <xf numFmtId="0" fontId="6" fillId="5" borderId="6" xfId="0" applyFont="1" applyFill="1" applyBorder="1" applyAlignment="1">
      <alignment vertical="top"/>
    </xf>
    <xf numFmtId="0" fontId="6" fillId="11" borderId="1" xfId="0" applyFont="1" applyFill="1" applyBorder="1" applyAlignment="1">
      <alignment vertical="top"/>
    </xf>
    <xf numFmtId="0" fontId="6" fillId="10" borderId="1" xfId="0" applyFont="1" applyFill="1" applyBorder="1" applyAlignment="1">
      <alignment vertical="top"/>
    </xf>
    <xf numFmtId="0" fontId="6" fillId="5" borderId="1" xfId="0" applyFont="1" applyFill="1" applyBorder="1" applyAlignment="1">
      <alignment vertical="top"/>
    </xf>
    <xf numFmtId="4" fontId="6" fillId="5" borderId="3" xfId="0" applyNumberFormat="1" applyFont="1" applyFill="1" applyBorder="1" applyAlignment="1">
      <alignment vertical="top"/>
    </xf>
    <xf numFmtId="0" fontId="6" fillId="5" borderId="0" xfId="0" applyFont="1" applyFill="1" applyBorder="1" applyAlignment="1">
      <alignment vertical="top"/>
    </xf>
    <xf numFmtId="0" fontId="6" fillId="11" borderId="0" xfId="0" applyFont="1" applyFill="1" applyBorder="1" applyAlignment="1">
      <alignment vertical="top"/>
    </xf>
    <xf numFmtId="180" fontId="6" fillId="0" borderId="0" xfId="0" applyNumberFormat="1" applyFont="1" applyFill="1" applyAlignment="1">
      <alignment vertical="top"/>
    </xf>
    <xf numFmtId="176" fontId="6" fillId="0" borderId="0" xfId="0" applyNumberFormat="1" applyFont="1" applyFill="1" applyAlignment="1">
      <alignment vertical="top"/>
    </xf>
    <xf numFmtId="180" fontId="6" fillId="0" borderId="0" xfId="0" applyNumberFormat="1" applyFont="1" applyFill="1" applyBorder="1" applyAlignment="1">
      <alignment vertical="top"/>
    </xf>
    <xf numFmtId="4" fontId="6" fillId="10" borderId="0" xfId="0" applyNumberFormat="1" applyFont="1" applyFill="1" applyBorder="1" applyAlignment="1">
      <alignment vertical="top"/>
    </xf>
    <xf numFmtId="180" fontId="6" fillId="0" borderId="1" xfId="0" applyNumberFormat="1" applyFont="1" applyFill="1" applyBorder="1" applyAlignment="1">
      <alignment vertical="top"/>
    </xf>
    <xf numFmtId="170" fontId="6" fillId="0" borderId="1" xfId="0" applyNumberFormat="1" applyFont="1" applyFill="1" applyBorder="1" applyAlignment="1">
      <alignment vertical="top"/>
    </xf>
    <xf numFmtId="170" fontId="6" fillId="10" borderId="0" xfId="0" applyNumberFormat="1" applyFont="1" applyFill="1" applyBorder="1" applyAlignment="1">
      <alignment vertical="top"/>
    </xf>
    <xf numFmtId="170" fontId="6" fillId="0" borderId="6" xfId="0" applyNumberFormat="1" applyFont="1" applyFill="1" applyBorder="1" applyAlignment="1">
      <alignment vertical="top"/>
    </xf>
    <xf numFmtId="4" fontId="6" fillId="0" borderId="6" xfId="0" applyNumberFormat="1" applyFont="1" applyFill="1" applyBorder="1" applyAlignment="1">
      <alignment vertical="top"/>
    </xf>
    <xf numFmtId="170" fontId="6" fillId="0" borderId="0" xfId="0" applyNumberFormat="1" applyFont="1" applyFill="1" applyBorder="1" applyAlignment="1">
      <alignment vertical="top"/>
    </xf>
    <xf numFmtId="170" fontId="6" fillId="10" borderId="0" xfId="0" applyNumberFormat="1" applyFont="1" applyFill="1" applyAlignment="1">
      <alignment vertical="top"/>
    </xf>
    <xf numFmtId="4" fontId="6" fillId="10" borderId="0" xfId="0" applyNumberFormat="1" applyFont="1" applyFill="1" applyAlignment="1">
      <alignment vertical="top"/>
    </xf>
    <xf numFmtId="180" fontId="5" fillId="0" borderId="1" xfId="0" applyNumberFormat="1" applyFont="1" applyFill="1" applyBorder="1" applyAlignment="1">
      <alignment vertical="top"/>
    </xf>
    <xf numFmtId="170" fontId="5" fillId="10" borderId="0" xfId="0" applyNumberFormat="1" applyFont="1" applyFill="1" applyAlignment="1">
      <alignment vertical="top"/>
    </xf>
    <xf numFmtId="0" fontId="15" fillId="0" borderId="1" xfId="0" applyFont="1" applyFill="1" applyBorder="1" applyAlignment="1">
      <alignment vertical="top"/>
    </xf>
    <xf numFmtId="4" fontId="15" fillId="0" borderId="1" xfId="0" applyNumberFormat="1" applyFont="1" applyFill="1" applyBorder="1" applyAlignment="1">
      <alignment vertical="top"/>
    </xf>
    <xf numFmtId="0" fontId="66" fillId="0" borderId="1" xfId="0" applyFont="1" applyFill="1" applyBorder="1" applyAlignment="1">
      <alignment vertical="top"/>
    </xf>
    <xf numFmtId="0" fontId="67" fillId="0" borderId="1" xfId="0" applyFont="1" applyFill="1" applyBorder="1" applyAlignment="1">
      <alignment vertical="top"/>
    </xf>
    <xf numFmtId="0" fontId="67" fillId="0" borderId="1" xfId="0" applyFont="1" applyFill="1" applyBorder="1" applyAlignment="1">
      <alignment horizontal="right" vertical="top"/>
    </xf>
    <xf numFmtId="4" fontId="67" fillId="0" borderId="1" xfId="0" applyNumberFormat="1" applyFont="1" applyFill="1" applyBorder="1" applyAlignment="1">
      <alignment vertical="top"/>
    </xf>
    <xf numFmtId="165" fontId="67" fillId="0" borderId="1" xfId="0" applyNumberFormat="1" applyFont="1" applyFill="1" applyBorder="1" applyAlignment="1">
      <alignment vertical="top"/>
    </xf>
    <xf numFmtId="0" fontId="67" fillId="10" borderId="0" xfId="0" applyFont="1" applyFill="1" applyBorder="1" applyAlignment="1">
      <alignment vertical="top"/>
    </xf>
    <xf numFmtId="0" fontId="68" fillId="0" borderId="0" xfId="0" applyFont="1" applyFill="1" applyBorder="1" applyAlignment="1">
      <alignment vertical="top"/>
    </xf>
    <xf numFmtId="0" fontId="67" fillId="0" borderId="0" xfId="0" applyFont="1" applyFill="1" applyBorder="1" applyAlignment="1">
      <alignment vertical="top"/>
    </xf>
    <xf numFmtId="0" fontId="67" fillId="0" borderId="0" xfId="0" applyFont="1" applyFill="1" applyAlignment="1">
      <alignment vertical="top"/>
    </xf>
    <xf numFmtId="2" fontId="6" fillId="0" borderId="1" xfId="0" applyNumberFormat="1" applyFont="1" applyFill="1" applyBorder="1" applyAlignment="1">
      <alignment vertical="top"/>
    </xf>
    <xf numFmtId="0" fontId="10" fillId="0" borderId="0" xfId="0" applyFont="1" applyAlignment="1"/>
    <xf numFmtId="0" fontId="10" fillId="8" borderId="0" xfId="0" applyFont="1" applyFill="1" applyAlignment="1">
      <alignment horizontal="center"/>
    </xf>
    <xf numFmtId="0" fontId="10" fillId="0" borderId="0" xfId="0" applyFont="1" applyFill="1" applyAlignment="1">
      <alignment horizontal="center"/>
    </xf>
    <xf numFmtId="0" fontId="6" fillId="0" borderId="0" xfId="0" applyFont="1" applyAlignment="1"/>
    <xf numFmtId="0" fontId="6" fillId="0" borderId="0" xfId="0" applyFont="1" applyFill="1" applyAlignment="1"/>
    <xf numFmtId="0" fontId="10" fillId="0" borderId="0" xfId="0" applyFont="1" applyAlignment="1">
      <alignment horizontal="center"/>
    </xf>
    <xf numFmtId="0" fontId="10" fillId="0" borderId="0" xfId="0" applyFont="1" applyBorder="1" applyAlignment="1"/>
    <xf numFmtId="0" fontId="6" fillId="0" borderId="0" xfId="0" applyFont="1" applyFill="1" applyBorder="1" applyAlignment="1"/>
    <xf numFmtId="0" fontId="10" fillId="0" borderId="0" xfId="0" applyFont="1" applyFill="1" applyBorder="1" applyAlignment="1"/>
    <xf numFmtId="0" fontId="10" fillId="8" borderId="0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5" fillId="0" borderId="0" xfId="0" applyFont="1" applyAlignment="1"/>
    <xf numFmtId="0" fontId="5" fillId="0" borderId="0" xfId="0" applyFont="1" applyFill="1" applyAlignment="1"/>
    <xf numFmtId="0" fontId="6" fillId="0" borderId="0" xfId="0" applyFont="1" applyAlignment="1">
      <alignment horizontal="center"/>
    </xf>
    <xf numFmtId="170" fontId="6" fillId="0" borderId="0" xfId="0" applyNumberFormat="1" applyFont="1" applyAlignment="1"/>
    <xf numFmtId="0" fontId="6" fillId="8" borderId="0" xfId="0" applyFont="1" applyFill="1" applyAlignment="1"/>
    <xf numFmtId="0" fontId="6" fillId="0" borderId="13" xfId="0" applyFont="1" applyFill="1" applyBorder="1" applyAlignment="1"/>
    <xf numFmtId="0" fontId="6" fillId="0" borderId="8" xfId="0" applyFont="1" applyFill="1" applyBorder="1" applyAlignment="1">
      <alignment horizontal="center"/>
    </xf>
    <xf numFmtId="0" fontId="6" fillId="15" borderId="8" xfId="0" applyFont="1" applyFill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8" borderId="8" xfId="0" applyFont="1" applyFill="1" applyBorder="1" applyAlignment="1">
      <alignment horizontal="center"/>
    </xf>
    <xf numFmtId="0" fontId="6" fillId="8" borderId="3" xfId="0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/>
    </xf>
    <xf numFmtId="0" fontId="5" fillId="0" borderId="1" xfId="0" applyFont="1" applyFill="1" applyBorder="1" applyAlignment="1">
      <alignment vertical="top" wrapText="1"/>
    </xf>
    <xf numFmtId="0" fontId="6" fillId="0" borderId="1" xfId="0" applyFont="1" applyBorder="1" applyAlignment="1">
      <alignment horizontal="center"/>
    </xf>
    <xf numFmtId="4" fontId="5" fillId="0" borderId="1" xfId="0" applyNumberFormat="1" applyFont="1" applyBorder="1" applyAlignment="1">
      <alignment horizontal="center"/>
    </xf>
    <xf numFmtId="4" fontId="5" fillId="0" borderId="1" xfId="0" applyNumberFormat="1" applyFont="1" applyBorder="1" applyAlignment="1">
      <alignment horizontal="right" wrapText="1"/>
    </xf>
    <xf numFmtId="4" fontId="5" fillId="16" borderId="2" xfId="0" applyNumberFormat="1" applyFont="1" applyFill="1" applyBorder="1" applyAlignment="1">
      <alignment horizontal="right"/>
    </xf>
    <xf numFmtId="4" fontId="5" fillId="0" borderId="2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left" vertical="center" wrapText="1" indent="2"/>
    </xf>
    <xf numFmtId="4" fontId="6" fillId="0" borderId="1" xfId="0" applyNumberFormat="1" applyFont="1" applyBorder="1" applyAlignment="1">
      <alignment horizontal="right" wrapText="1"/>
    </xf>
    <xf numFmtId="4" fontId="6" fillId="18" borderId="1" xfId="0" applyNumberFormat="1" applyFont="1" applyFill="1" applyBorder="1" applyAlignment="1">
      <alignment horizontal="right" wrapText="1"/>
    </xf>
    <xf numFmtId="4" fontId="6" fillId="17" borderId="1" xfId="0" applyNumberFormat="1" applyFont="1" applyFill="1" applyBorder="1" applyAlignment="1">
      <alignment horizontal="right"/>
    </xf>
    <xf numFmtId="4" fontId="6" fillId="0" borderId="1" xfId="0" applyNumberFormat="1" applyFont="1" applyBorder="1" applyAlignment="1">
      <alignment horizontal="right"/>
    </xf>
    <xf numFmtId="4" fontId="6" fillId="8" borderId="1" xfId="0" applyNumberFormat="1" applyFont="1" applyFill="1" applyBorder="1" applyAlignment="1">
      <alignment horizontal="right"/>
    </xf>
    <xf numFmtId="2" fontId="6" fillId="0" borderId="1" xfId="0" applyNumberFormat="1" applyFont="1" applyFill="1" applyBorder="1" applyAlignment="1">
      <alignment horizontal="right"/>
    </xf>
    <xf numFmtId="4" fontId="6" fillId="0" borderId="0" xfId="0" applyNumberFormat="1" applyFont="1" applyFill="1" applyAlignment="1">
      <alignment horizontal="right"/>
    </xf>
    <xf numFmtId="4" fontId="6" fillId="0" borderId="0" xfId="0" applyNumberFormat="1" applyFont="1" applyFill="1" applyAlignment="1"/>
    <xf numFmtId="2" fontId="6" fillId="0" borderId="4" xfId="0" applyNumberFormat="1" applyFont="1" applyFill="1" applyBorder="1" applyAlignment="1">
      <alignment horizontal="right"/>
    </xf>
    <xf numFmtId="4" fontId="6" fillId="18" borderId="2" xfId="0" applyNumberFormat="1" applyFont="1" applyFill="1" applyBorder="1" applyAlignment="1">
      <alignment horizontal="right" wrapText="1"/>
    </xf>
    <xf numFmtId="4" fontId="6" fillId="0" borderId="2" xfId="0" applyNumberFormat="1" applyFont="1" applyFill="1" applyBorder="1" applyAlignment="1">
      <alignment horizontal="right"/>
    </xf>
    <xf numFmtId="4" fontId="6" fillId="0" borderId="2" xfId="0" applyNumberFormat="1" applyFont="1" applyBorder="1" applyAlignment="1">
      <alignment horizontal="right"/>
    </xf>
    <xf numFmtId="4" fontId="6" fillId="8" borderId="2" xfId="0" applyNumberFormat="1" applyFont="1" applyFill="1" applyBorder="1" applyAlignment="1">
      <alignment horizontal="right"/>
    </xf>
    <xf numFmtId="2" fontId="6" fillId="0" borderId="10" xfId="0" applyNumberFormat="1" applyFont="1" applyFill="1" applyBorder="1" applyAlignment="1">
      <alignment horizontal="right"/>
    </xf>
    <xf numFmtId="4" fontId="5" fillId="0" borderId="0" xfId="0" applyNumberFormat="1" applyFont="1" applyFill="1" applyAlignment="1">
      <alignment horizontal="right"/>
    </xf>
    <xf numFmtId="0" fontId="6" fillId="0" borderId="1" xfId="0" applyFont="1" applyFill="1" applyBorder="1" applyAlignment="1">
      <alignment horizontal="left" vertical="top" wrapText="1" indent="3"/>
    </xf>
    <xf numFmtId="4" fontId="6" fillId="0" borderId="1" xfId="0" applyNumberFormat="1" applyFont="1" applyFill="1" applyBorder="1" applyAlignment="1">
      <alignment horizontal="center"/>
    </xf>
    <xf numFmtId="4" fontId="6" fillId="0" borderId="1" xfId="0" applyNumberFormat="1" applyFont="1" applyBorder="1" applyAlignment="1">
      <alignment horizontal="center"/>
    </xf>
    <xf numFmtId="4" fontId="6" fillId="8" borderId="1" xfId="0" applyNumberFormat="1" applyFont="1" applyFill="1" applyBorder="1" applyAlignment="1">
      <alignment horizontal="center"/>
    </xf>
    <xf numFmtId="0" fontId="6" fillId="0" borderId="16" xfId="0" applyFont="1" applyFill="1" applyBorder="1" applyAlignment="1">
      <alignment horizontal="left" wrapText="1" indent="2"/>
    </xf>
    <xf numFmtId="0" fontId="5" fillId="0" borderId="1" xfId="0" applyFont="1" applyFill="1" applyBorder="1" applyAlignment="1">
      <alignment wrapText="1"/>
    </xf>
    <xf numFmtId="4" fontId="5" fillId="18" borderId="1" xfId="0" applyNumberFormat="1" applyFont="1" applyFill="1" applyBorder="1" applyAlignment="1">
      <alignment horizontal="right" wrapText="1"/>
    </xf>
    <xf numFmtId="0" fontId="6" fillId="0" borderId="1" xfId="0" applyFont="1" applyFill="1" applyBorder="1" applyAlignment="1"/>
    <xf numFmtId="0" fontId="6" fillId="8" borderId="1" xfId="0" applyFont="1" applyFill="1" applyBorder="1" applyAlignment="1"/>
    <xf numFmtId="4" fontId="6" fillId="8" borderId="1" xfId="0" applyNumberFormat="1" applyFont="1" applyFill="1" applyBorder="1" applyAlignment="1"/>
    <xf numFmtId="4" fontId="6" fillId="0" borderId="0" xfId="0" applyNumberFormat="1" applyFont="1" applyAlignment="1"/>
    <xf numFmtId="0" fontId="5" fillId="0" borderId="1" xfId="0" applyFont="1" applyBorder="1" applyAlignment="1"/>
    <xf numFmtId="0" fontId="6" fillId="0" borderId="0" xfId="0" applyFont="1" applyBorder="1" applyAlignment="1">
      <alignment horizontal="center"/>
    </xf>
    <xf numFmtId="0" fontId="6" fillId="0" borderId="0" xfId="0" applyFont="1" applyBorder="1" applyAlignment="1"/>
    <xf numFmtId="4" fontId="6" fillId="0" borderId="0" xfId="0" applyNumberFormat="1" applyFont="1" applyBorder="1" applyAlignment="1"/>
    <xf numFmtId="4" fontId="6" fillId="0" borderId="0" xfId="0" applyNumberFormat="1" applyFont="1" applyFill="1" applyBorder="1" applyAlignment="1"/>
    <xf numFmtId="0" fontId="6" fillId="0" borderId="1" xfId="0" applyFont="1" applyFill="1" applyBorder="1" applyAlignment="1">
      <alignment horizontal="center"/>
    </xf>
    <xf numFmtId="0" fontId="6" fillId="9" borderId="1" xfId="0" applyFont="1" applyFill="1" applyBorder="1" applyAlignment="1">
      <alignment horizontal="right"/>
    </xf>
    <xf numFmtId="0" fontId="6" fillId="9" borderId="1" xfId="0" applyFont="1" applyFill="1" applyBorder="1" applyAlignment="1"/>
    <xf numFmtId="4" fontId="6" fillId="9" borderId="1" xfId="0" applyNumberFormat="1" applyFont="1" applyFill="1" applyBorder="1" applyAlignment="1"/>
    <xf numFmtId="4" fontId="5" fillId="9" borderId="1" xfId="0" applyNumberFormat="1" applyFont="1" applyFill="1" applyBorder="1" applyAlignment="1"/>
    <xf numFmtId="0" fontId="7" fillId="0" borderId="0" xfId="0" applyFont="1" applyFill="1" applyAlignment="1"/>
    <xf numFmtId="0" fontId="7" fillId="0" borderId="0" xfId="0" applyFont="1" applyFill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7" fillId="0" borderId="1" xfId="0" applyFont="1" applyFill="1" applyBorder="1" applyAlignment="1"/>
    <xf numFmtId="0" fontId="5" fillId="0" borderId="1" xfId="0" applyFont="1" applyFill="1" applyBorder="1" applyAlignment="1"/>
    <xf numFmtId="4" fontId="5" fillId="0" borderId="1" xfId="0" applyNumberFormat="1" applyFont="1" applyFill="1" applyBorder="1" applyAlignment="1"/>
    <xf numFmtId="4" fontId="7" fillId="0" borderId="1" xfId="0" applyNumberFormat="1" applyFont="1" applyFill="1" applyBorder="1" applyAlignment="1"/>
    <xf numFmtId="0" fontId="6" fillId="9" borderId="1" xfId="0" applyFont="1" applyFill="1" applyBorder="1" applyAlignment="1">
      <alignment horizontal="center"/>
    </xf>
    <xf numFmtId="4" fontId="6" fillId="9" borderId="1" xfId="0" applyNumberFormat="1" applyFont="1" applyFill="1" applyBorder="1" applyAlignment="1">
      <alignment horizontal="center"/>
    </xf>
    <xf numFmtId="0" fontId="8" fillId="0" borderId="0" xfId="0" applyFont="1" applyFill="1" applyAlignment="1"/>
    <xf numFmtId="0" fontId="8" fillId="0" borderId="0" xfId="0" applyFont="1" applyFill="1" applyBorder="1" applyAlignment="1">
      <alignment vertical="top" wrapText="1"/>
    </xf>
    <xf numFmtId="0" fontId="7" fillId="0" borderId="0" xfId="0" applyFont="1" applyFill="1" applyBorder="1" applyAlignment="1">
      <alignment vertical="top" wrapText="1"/>
    </xf>
    <xf numFmtId="0" fontId="6" fillId="19" borderId="0" xfId="0" applyNumberFormat="1" applyFont="1" applyFill="1" applyBorder="1" applyAlignment="1">
      <alignment horizontal="right"/>
    </xf>
    <xf numFmtId="4" fontId="6" fillId="0" borderId="3" xfId="0" applyNumberFormat="1" applyFont="1" applyFill="1" applyBorder="1" applyAlignment="1">
      <alignment vertical="center" wrapText="1"/>
    </xf>
    <xf numFmtId="0" fontId="6" fillId="0" borderId="0" xfId="0" applyFont="1"/>
    <xf numFmtId="0" fontId="6" fillId="0" borderId="1" xfId="0" applyFont="1" applyBorder="1" applyAlignment="1">
      <alignment horizontal="center" vertical="top"/>
    </xf>
    <xf numFmtId="0" fontId="4" fillId="0" borderId="0" xfId="0" applyFont="1" applyFill="1" applyAlignment="1">
      <alignment vertical="top"/>
    </xf>
    <xf numFmtId="4" fontId="3" fillId="0" borderId="1" xfId="0" applyNumberFormat="1" applyFont="1" applyFill="1" applyBorder="1" applyAlignment="1">
      <alignment vertical="top"/>
    </xf>
    <xf numFmtId="4" fontId="4" fillId="0" borderId="1" xfId="0" applyNumberFormat="1" applyFont="1" applyFill="1" applyBorder="1" applyAlignment="1">
      <alignment vertical="top"/>
    </xf>
    <xf numFmtId="170" fontId="9" fillId="0" borderId="1" xfId="0" applyNumberFormat="1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7" xfId="0" applyFont="1" applyFill="1" applyBorder="1" applyAlignment="1"/>
    <xf numFmtId="4" fontId="6" fillId="0" borderId="0" xfId="0" applyNumberFormat="1" applyFont="1" applyFill="1" applyBorder="1" applyAlignment="1">
      <alignment horizontal="right"/>
    </xf>
    <xf numFmtId="0" fontId="6" fillId="0" borderId="0" xfId="0" applyFont="1" applyBorder="1" applyAlignment="1">
      <alignment horizontal="right"/>
    </xf>
    <xf numFmtId="0" fontId="6" fillId="0" borderId="6" xfId="0" applyFont="1" applyBorder="1" applyAlignment="1">
      <alignment horizontal="right"/>
    </xf>
    <xf numFmtId="4" fontId="5" fillId="17" borderId="2" xfId="0" applyNumberFormat="1" applyFont="1" applyFill="1" applyBorder="1" applyAlignment="1">
      <alignment horizontal="right"/>
    </xf>
    <xf numFmtId="0" fontId="4" fillId="0" borderId="1" xfId="0" applyFont="1" applyFill="1" applyBorder="1" applyAlignment="1">
      <alignment vertical="top"/>
    </xf>
    <xf numFmtId="4" fontId="6" fillId="0" borderId="1" xfId="0" applyNumberFormat="1" applyFont="1" applyFill="1" applyBorder="1" applyAlignment="1">
      <alignment horizontal="center" vertical="center" wrapText="1"/>
    </xf>
    <xf numFmtId="49" fontId="6" fillId="0" borderId="6" xfId="0" applyNumberFormat="1" applyFont="1" applyFill="1" applyBorder="1" applyAlignment="1">
      <alignment horizontal="right" vertical="top" wrapText="1"/>
    </xf>
    <xf numFmtId="2" fontId="4" fillId="0" borderId="0" xfId="0" applyNumberFormat="1" applyFont="1" applyFill="1" applyAlignment="1">
      <alignment vertical="top"/>
    </xf>
    <xf numFmtId="0" fontId="6" fillId="0" borderId="0" xfId="0" applyFont="1" applyFill="1" applyAlignment="1">
      <alignment wrapText="1"/>
    </xf>
    <xf numFmtId="173" fontId="9" fillId="0" borderId="1" xfId="0" applyNumberFormat="1" applyFont="1" applyFill="1" applyBorder="1" applyAlignment="1">
      <alignment vertical="center" wrapText="1"/>
    </xf>
    <xf numFmtId="166" fontId="6" fillId="0" borderId="3" xfId="0" applyNumberFormat="1" applyFont="1" applyFill="1" applyBorder="1" applyAlignment="1">
      <alignment vertical="center" wrapText="1"/>
    </xf>
    <xf numFmtId="49" fontId="6" fillId="0" borderId="7" xfId="0" applyNumberFormat="1" applyFont="1" applyFill="1" applyBorder="1" applyAlignment="1">
      <alignment horizontal="right" vertical="top" wrapText="1"/>
    </xf>
    <xf numFmtId="4" fontId="6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vertical="top"/>
    </xf>
    <xf numFmtId="0" fontId="12" fillId="0" borderId="0" xfId="0" applyFont="1"/>
    <xf numFmtId="0" fontId="6" fillId="0" borderId="19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11" fillId="0" borderId="0" xfId="0" applyFont="1" applyAlignment="1">
      <alignment wrapText="1"/>
    </xf>
    <xf numFmtId="0" fontId="6" fillId="17" borderId="4" xfId="0" applyFont="1" applyFill="1" applyBorder="1" applyAlignment="1">
      <alignment vertical="top" wrapText="1"/>
    </xf>
    <xf numFmtId="4" fontId="6" fillId="0" borderId="0" xfId="0" applyNumberFormat="1" applyFont="1"/>
    <xf numFmtId="0" fontId="6" fillId="0" borderId="4" xfId="0" applyFont="1" applyFill="1" applyBorder="1" applyAlignment="1">
      <alignment horizontal="left" vertical="center" wrapText="1" indent="2"/>
    </xf>
    <xf numFmtId="0" fontId="6" fillId="0" borderId="4" xfId="0" applyFont="1" applyFill="1" applyBorder="1" applyAlignment="1">
      <alignment horizontal="left" vertical="top" wrapText="1" indent="2"/>
    </xf>
    <xf numFmtId="0" fontId="6" fillId="0" borderId="0" xfId="0" applyFont="1" applyFill="1"/>
    <xf numFmtId="0" fontId="6" fillId="0" borderId="4" xfId="0" applyFont="1" applyFill="1" applyBorder="1" applyAlignment="1">
      <alignment horizontal="left" vertical="top" wrapText="1" indent="3"/>
    </xf>
    <xf numFmtId="0" fontId="5" fillId="0" borderId="4" xfId="0" applyFont="1" applyFill="1" applyBorder="1" applyAlignment="1">
      <alignment vertical="top" wrapText="1"/>
    </xf>
    <xf numFmtId="4" fontId="5" fillId="0" borderId="9" xfId="0" applyNumberFormat="1" applyFont="1" applyBorder="1"/>
    <xf numFmtId="4" fontId="6" fillId="0" borderId="9" xfId="0" applyNumberFormat="1" applyFont="1" applyBorder="1"/>
    <xf numFmtId="4" fontId="6" fillId="0" borderId="9" xfId="0" applyNumberFormat="1" applyFont="1" applyFill="1" applyBorder="1"/>
    <xf numFmtId="0" fontId="6" fillId="13" borderId="3" xfId="0" applyFont="1" applyFill="1" applyBorder="1" applyAlignment="1">
      <alignment horizontal="left" vertical="top" wrapText="1"/>
    </xf>
    <xf numFmtId="165" fontId="6" fillId="0" borderId="1" xfId="0" applyNumberFormat="1" applyFont="1" applyFill="1" applyBorder="1" applyAlignment="1">
      <alignment vertical="top"/>
    </xf>
    <xf numFmtId="4" fontId="6" fillId="17" borderId="19" xfId="0" applyNumberFormat="1" applyFont="1" applyFill="1" applyBorder="1"/>
    <xf numFmtId="4" fontId="6" fillId="17" borderId="1" xfId="0" applyNumberFormat="1" applyFont="1" applyFill="1" applyBorder="1"/>
    <xf numFmtId="4" fontId="6" fillId="17" borderId="20" xfId="0" applyNumberFormat="1" applyFont="1" applyFill="1" applyBorder="1"/>
    <xf numFmtId="4" fontId="6" fillId="0" borderId="19" xfId="0" applyNumberFormat="1" applyFont="1" applyBorder="1"/>
    <xf numFmtId="4" fontId="6" fillId="0" borderId="1" xfId="0" applyNumberFormat="1" applyFont="1" applyBorder="1"/>
    <xf numFmtId="4" fontId="6" fillId="0" borderId="20" xfId="0" applyNumberFormat="1" applyFont="1" applyBorder="1"/>
    <xf numFmtId="4" fontId="6" fillId="0" borderId="19" xfId="0" applyNumberFormat="1" applyFont="1" applyFill="1" applyBorder="1"/>
    <xf numFmtId="4" fontId="6" fillId="0" borderId="1" xfId="0" applyNumberFormat="1" applyFont="1" applyFill="1" applyBorder="1"/>
    <xf numFmtId="4" fontId="6" fillId="0" borderId="20" xfId="0" applyNumberFormat="1" applyFont="1" applyFill="1" applyBorder="1"/>
    <xf numFmtId="4" fontId="6" fillId="17" borderId="21" xfId="0" applyNumberFormat="1" applyFont="1" applyFill="1" applyBorder="1"/>
    <xf numFmtId="0" fontId="6" fillId="0" borderId="0" xfId="0" applyFont="1" applyAlignment="1">
      <alignment horizontal="center" vertical="top"/>
    </xf>
    <xf numFmtId="168" fontId="5" fillId="0" borderId="1" xfId="0" applyNumberFormat="1" applyFont="1" applyFill="1" applyBorder="1" applyAlignment="1">
      <alignment horizontal="center" vertical="top" wrapText="1"/>
    </xf>
    <xf numFmtId="0" fontId="16" fillId="0" borderId="1" xfId="0" applyFont="1" applyFill="1" applyBorder="1" applyAlignment="1">
      <alignment horizontal="left" vertical="top" wrapText="1"/>
    </xf>
    <xf numFmtId="49" fontId="17" fillId="0" borderId="1" xfId="0" applyNumberFormat="1" applyFont="1" applyFill="1" applyBorder="1" applyAlignment="1">
      <alignment horizontal="center" vertical="top"/>
    </xf>
    <xf numFmtId="0" fontId="19" fillId="0" borderId="1" xfId="0" applyFont="1" applyFill="1" applyBorder="1" applyAlignment="1">
      <alignment horizontal="left" vertical="top" wrapText="1"/>
    </xf>
    <xf numFmtId="49" fontId="6" fillId="8" borderId="1" xfId="0" applyNumberFormat="1" applyFont="1" applyFill="1" applyBorder="1" applyAlignment="1">
      <alignment horizontal="center" vertical="top"/>
    </xf>
    <xf numFmtId="49" fontId="20" fillId="0" borderId="1" xfId="0" applyNumberFormat="1" applyFont="1" applyFill="1" applyBorder="1" applyAlignment="1">
      <alignment horizontal="center" vertical="top"/>
    </xf>
    <xf numFmtId="178" fontId="6" fillId="0" borderId="1" xfId="0" applyNumberFormat="1" applyFont="1" applyFill="1" applyBorder="1" applyAlignment="1" applyProtection="1">
      <alignment horizontal="left" vertical="top" wrapText="1"/>
    </xf>
    <xf numFmtId="4" fontId="23" fillId="0" borderId="0" xfId="4" applyNumberFormat="1" applyFont="1" applyBorder="1" applyAlignment="1" applyProtection="1">
      <alignment horizontal="right" vertical="top" wrapText="1"/>
    </xf>
    <xf numFmtId="49" fontId="6" fillId="0" borderId="5" xfId="0" applyNumberFormat="1" applyFont="1" applyFill="1" applyBorder="1" applyAlignment="1">
      <alignment horizontal="center" vertical="top"/>
    </xf>
    <xf numFmtId="49" fontId="6" fillId="0" borderId="0" xfId="0" applyNumberFormat="1" applyFont="1" applyFill="1" applyBorder="1" applyAlignment="1">
      <alignment horizontal="left" vertical="top" wrapText="1"/>
    </xf>
    <xf numFmtId="49" fontId="27" fillId="0" borderId="1" xfId="0" applyNumberFormat="1" applyFont="1" applyFill="1" applyBorder="1" applyAlignment="1">
      <alignment horizontal="center" vertical="top"/>
    </xf>
    <xf numFmtId="49" fontId="27" fillId="0" borderId="3" xfId="0" applyNumberFormat="1" applyFont="1" applyFill="1" applyBorder="1" applyAlignment="1">
      <alignment horizontal="center" vertical="top"/>
    </xf>
    <xf numFmtId="49" fontId="9" fillId="0" borderId="1" xfId="0" applyNumberFormat="1" applyFont="1" applyFill="1" applyBorder="1" applyAlignment="1">
      <alignment horizontal="center" vertical="top"/>
    </xf>
    <xf numFmtId="49" fontId="12" fillId="0" borderId="1" xfId="0" applyNumberFormat="1" applyFont="1" applyFill="1" applyBorder="1" applyAlignment="1">
      <alignment horizontal="center" vertical="top"/>
    </xf>
    <xf numFmtId="0" fontId="6" fillId="0" borderId="0" xfId="0" applyFont="1" applyFill="1" applyBorder="1" applyAlignment="1">
      <alignment horizontal="center" vertical="top"/>
    </xf>
    <xf numFmtId="4" fontId="6" fillId="0" borderId="0" xfId="0" applyNumberFormat="1" applyFont="1" applyFill="1" applyBorder="1" applyAlignment="1">
      <alignment horizontal="right" vertical="top" wrapText="1"/>
    </xf>
    <xf numFmtId="0" fontId="6" fillId="0" borderId="0" xfId="0" applyFont="1" applyFill="1" applyAlignment="1">
      <alignment horizontal="center" vertical="top" wrapText="1"/>
    </xf>
    <xf numFmtId="0" fontId="6" fillId="0" borderId="0" xfId="0" applyFont="1" applyFill="1" applyAlignment="1">
      <alignment horizontal="center" vertical="top"/>
    </xf>
    <xf numFmtId="4" fontId="72" fillId="0" borderId="1" xfId="0" applyNumberFormat="1" applyFont="1" applyFill="1" applyBorder="1" applyAlignment="1">
      <alignment vertical="top"/>
    </xf>
    <xf numFmtId="4" fontId="72" fillId="0" borderId="1" xfId="0" applyNumberFormat="1" applyFont="1" applyFill="1" applyBorder="1" applyAlignment="1">
      <alignment vertical="top" wrapText="1"/>
    </xf>
    <xf numFmtId="4" fontId="72" fillId="5" borderId="1" xfId="0" applyNumberFormat="1" applyFont="1" applyFill="1" applyBorder="1" applyAlignment="1">
      <alignment vertical="top" wrapText="1"/>
    </xf>
    <xf numFmtId="4" fontId="72" fillId="11" borderId="1" xfId="0" applyNumberFormat="1" applyFont="1" applyFill="1" applyBorder="1" applyAlignment="1">
      <alignment vertical="top" wrapText="1"/>
    </xf>
    <xf numFmtId="165" fontId="72" fillId="0" borderId="1" xfId="0" applyNumberFormat="1" applyFont="1" applyFill="1" applyBorder="1" applyAlignment="1">
      <alignment vertical="top" wrapText="1"/>
    </xf>
    <xf numFmtId="4" fontId="72" fillId="0" borderId="0" xfId="0" applyNumberFormat="1" applyFont="1" applyFill="1" applyBorder="1" applyAlignment="1">
      <alignment vertical="top"/>
    </xf>
    <xf numFmtId="0" fontId="72" fillId="0" borderId="0" xfId="0" applyFont="1" applyFill="1" applyAlignment="1">
      <alignment vertical="top"/>
    </xf>
    <xf numFmtId="4" fontId="74" fillId="0" borderId="0" xfId="0" applyNumberFormat="1" applyFont="1" applyFill="1" applyAlignment="1">
      <alignment vertical="top"/>
    </xf>
    <xf numFmtId="4" fontId="15" fillId="0" borderId="0" xfId="0" applyNumberFormat="1" applyFont="1" applyFill="1" applyBorder="1" applyAlignment="1">
      <alignment vertical="top"/>
    </xf>
    <xf numFmtId="170" fontId="6" fillId="0" borderId="1" xfId="0" applyNumberFormat="1" applyFont="1" applyFill="1" applyBorder="1" applyAlignment="1">
      <alignment horizontal="right"/>
    </xf>
    <xf numFmtId="4" fontId="8" fillId="0" borderId="1" xfId="0" applyNumberFormat="1" applyFont="1" applyFill="1" applyBorder="1" applyAlignment="1"/>
    <xf numFmtId="170" fontId="4" fillId="0" borderId="0" xfId="0" applyNumberFormat="1" applyFont="1" applyAlignment="1">
      <alignment vertical="top" wrapText="1"/>
    </xf>
    <xf numFmtId="4" fontId="5" fillId="0" borderId="23" xfId="0" applyNumberFormat="1" applyFont="1" applyBorder="1"/>
    <xf numFmtId="4" fontId="5" fillId="0" borderId="24" xfId="0" applyNumberFormat="1" applyFont="1" applyBorder="1"/>
    <xf numFmtId="4" fontId="5" fillId="0" borderId="25" xfId="0" applyNumberFormat="1" applyFont="1" applyBorder="1"/>
    <xf numFmtId="0" fontId="6" fillId="17" borderId="5" xfId="0" applyFont="1" applyFill="1" applyBorder="1" applyAlignment="1">
      <alignment vertical="top" wrapText="1"/>
    </xf>
    <xf numFmtId="4" fontId="6" fillId="0" borderId="2" xfId="0" applyNumberFormat="1" applyFont="1" applyBorder="1"/>
    <xf numFmtId="4" fontId="6" fillId="17" borderId="27" xfId="0" applyNumberFormat="1" applyFont="1" applyFill="1" applyBorder="1"/>
    <xf numFmtId="4" fontId="6" fillId="17" borderId="28" xfId="0" applyNumberFormat="1" applyFont="1" applyFill="1" applyBorder="1"/>
    <xf numFmtId="4" fontId="6" fillId="17" borderId="29" xfId="0" applyNumberFormat="1" applyFont="1" applyFill="1" applyBorder="1"/>
    <xf numFmtId="170" fontId="6" fillId="9" borderId="1" xfId="0" applyNumberFormat="1" applyFont="1" applyFill="1" applyBorder="1" applyAlignment="1"/>
    <xf numFmtId="170" fontId="6" fillId="9" borderId="1" xfId="0" applyNumberFormat="1" applyFont="1" applyFill="1" applyBorder="1" applyAlignment="1">
      <alignment horizontal="center"/>
    </xf>
    <xf numFmtId="170" fontId="5" fillId="9" borderId="1" xfId="0" applyNumberFormat="1" applyFont="1" applyFill="1" applyBorder="1" applyAlignment="1"/>
    <xf numFmtId="0" fontId="6" fillId="0" borderId="4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4" fontId="6" fillId="17" borderId="4" xfId="0" applyNumberFormat="1" applyFont="1" applyFill="1" applyBorder="1"/>
    <xf numFmtId="4" fontId="6" fillId="0" borderId="4" xfId="0" applyNumberFormat="1" applyFont="1" applyBorder="1"/>
    <xf numFmtId="4" fontId="6" fillId="0" borderId="4" xfId="0" applyNumberFormat="1" applyFont="1" applyFill="1" applyBorder="1"/>
    <xf numFmtId="4" fontId="5" fillId="0" borderId="32" xfId="0" applyNumberFormat="1" applyFont="1" applyBorder="1"/>
    <xf numFmtId="0" fontId="7" fillId="0" borderId="9" xfId="0" applyFont="1" applyBorder="1" applyAlignment="1">
      <alignment vertical="center" wrapText="1"/>
    </xf>
    <xf numFmtId="0" fontId="6" fillId="0" borderId="0" xfId="0" applyFont="1" applyFill="1" applyBorder="1" applyAlignment="1">
      <alignment horizontal="center" wrapText="1"/>
    </xf>
    <xf numFmtId="170" fontId="9" fillId="0" borderId="0" xfId="0" applyNumberFormat="1" applyFont="1" applyAlignment="1">
      <alignment vertical="top" wrapText="1"/>
    </xf>
    <xf numFmtId="0" fontId="5" fillId="0" borderId="0" xfId="0" applyFont="1" applyFill="1" applyBorder="1" applyAlignment="1"/>
    <xf numFmtId="4" fontId="5" fillId="0" borderId="0" xfId="0" applyNumberFormat="1" applyFont="1" applyFill="1" applyBorder="1" applyAlignment="1">
      <alignment horizontal="right"/>
    </xf>
    <xf numFmtId="0" fontId="7" fillId="0" borderId="0" xfId="0" applyFont="1" applyFill="1" applyBorder="1" applyAlignment="1"/>
    <xf numFmtId="4" fontId="6" fillId="0" borderId="2" xfId="0" applyNumberFormat="1" applyFont="1" applyBorder="1" applyAlignment="1">
      <alignment horizontal="right" wrapText="1"/>
    </xf>
    <xf numFmtId="0" fontId="6" fillId="0" borderId="2" xfId="0" applyFont="1" applyFill="1" applyBorder="1" applyAlignment="1"/>
    <xf numFmtId="0" fontId="6" fillId="0" borderId="2" xfId="0" applyFont="1" applyBorder="1" applyAlignment="1"/>
    <xf numFmtId="0" fontId="6" fillId="8" borderId="2" xfId="0" applyFont="1" applyFill="1" applyBorder="1" applyAlignment="1"/>
    <xf numFmtId="4" fontId="6" fillId="8" borderId="2" xfId="0" applyNumberFormat="1" applyFont="1" applyFill="1" applyBorder="1" applyAlignment="1">
      <alignment horizontal="center"/>
    </xf>
    <xf numFmtId="4" fontId="6" fillId="8" borderId="2" xfId="0" applyNumberFormat="1" applyFont="1" applyFill="1" applyBorder="1" applyAlignment="1"/>
    <xf numFmtId="4" fontId="6" fillId="0" borderId="6" xfId="0" applyNumberFormat="1" applyFont="1" applyBorder="1" applyAlignment="1"/>
    <xf numFmtId="4" fontId="4" fillId="0" borderId="0" xfId="0" applyNumberFormat="1" applyFont="1" applyAlignment="1">
      <alignment vertical="top"/>
    </xf>
    <xf numFmtId="2" fontId="6" fillId="0" borderId="2" xfId="0" applyNumberFormat="1" applyFont="1" applyBorder="1"/>
    <xf numFmtId="0" fontId="6" fillId="0" borderId="1" xfId="0" applyFont="1" applyFill="1" applyBorder="1" applyAlignment="1">
      <alignment horizontal="center" vertical="top" wrapText="1"/>
    </xf>
    <xf numFmtId="0" fontId="5" fillId="0" borderId="2" xfId="0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left" vertical="top" wrapText="1"/>
    </xf>
    <xf numFmtId="0" fontId="6" fillId="0" borderId="3" xfId="0" applyNumberFormat="1" applyFont="1" applyFill="1" applyBorder="1" applyAlignment="1">
      <alignment vertical="top" wrapText="1"/>
    </xf>
    <xf numFmtId="49" fontId="6" fillId="0" borderId="3" xfId="0" applyNumberFormat="1" applyFont="1" applyFill="1" applyBorder="1" applyAlignment="1">
      <alignment horizontal="left" vertical="top" wrapText="1"/>
    </xf>
    <xf numFmtId="0" fontId="15" fillId="0" borderId="1" xfId="0" applyFont="1" applyFill="1" applyBorder="1" applyAlignment="1">
      <alignment horizontal="left" vertical="top"/>
    </xf>
    <xf numFmtId="0" fontId="6" fillId="0" borderId="3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left" vertical="top"/>
    </xf>
    <xf numFmtId="0" fontId="5" fillId="0" borderId="1" xfId="0" applyFont="1" applyFill="1" applyBorder="1" applyAlignment="1">
      <alignment horizontal="left" vertical="top"/>
    </xf>
    <xf numFmtId="0" fontId="6" fillId="0" borderId="4" xfId="0" applyFont="1" applyFill="1" applyBorder="1" applyAlignment="1">
      <alignment horizontal="center" vertical="top" wrapText="1"/>
    </xf>
    <xf numFmtId="0" fontId="6" fillId="3" borderId="1" xfId="0" applyFont="1" applyFill="1" applyBorder="1" applyAlignment="1">
      <alignment horizontal="center" vertical="top" wrapText="1"/>
    </xf>
    <xf numFmtId="0" fontId="14" fillId="0" borderId="0" xfId="0" applyFont="1" applyFill="1" applyAlignment="1">
      <alignment horizontal="center" vertical="top"/>
    </xf>
    <xf numFmtId="0" fontId="12" fillId="0" borderId="0" xfId="0" applyFont="1" applyFill="1" applyAlignment="1">
      <alignment horizontal="center" vertical="top"/>
    </xf>
    <xf numFmtId="0" fontId="33" fillId="0" borderId="0" xfId="0" applyFont="1" applyFill="1" applyBorder="1" applyAlignment="1">
      <alignment horizontal="center" vertical="top"/>
    </xf>
    <xf numFmtId="4" fontId="6" fillId="0" borderId="1" xfId="0" applyNumberFormat="1" applyFont="1" applyFill="1" applyBorder="1" applyAlignment="1">
      <alignment horizontal="center" vertical="top"/>
    </xf>
    <xf numFmtId="0" fontId="40" fillId="0" borderId="1" xfId="0" applyFont="1" applyFill="1" applyBorder="1" applyAlignment="1">
      <alignment horizontal="center" vertical="top" wrapText="1"/>
    </xf>
    <xf numFmtId="0" fontId="40" fillId="0" borderId="6" xfId="0" applyFont="1" applyFill="1" applyBorder="1" applyAlignment="1">
      <alignment horizontal="center" vertical="top" wrapText="1"/>
    </xf>
    <xf numFmtId="49" fontId="44" fillId="0" borderId="6" xfId="0" applyNumberFormat="1" applyFont="1" applyFill="1" applyBorder="1" applyAlignment="1">
      <alignment horizontal="center" vertical="top" wrapText="1"/>
    </xf>
    <xf numFmtId="0" fontId="45" fillId="0" borderId="6" xfId="0" applyFont="1" applyFill="1" applyBorder="1" applyAlignment="1">
      <alignment vertical="top" wrapText="1"/>
    </xf>
    <xf numFmtId="4" fontId="45" fillId="0" borderId="1" xfId="0" applyNumberFormat="1" applyFont="1" applyFill="1" applyBorder="1" applyAlignment="1">
      <alignment vertical="top" wrapText="1"/>
    </xf>
    <xf numFmtId="4" fontId="45" fillId="0" borderId="4" xfId="0" applyNumberFormat="1" applyFont="1" applyFill="1" applyBorder="1" applyAlignment="1">
      <alignment vertical="top" wrapText="1"/>
    </xf>
    <xf numFmtId="0" fontId="46" fillId="0" borderId="0" xfId="0" applyFont="1" applyFill="1" applyAlignment="1">
      <alignment vertical="top"/>
    </xf>
    <xf numFmtId="4" fontId="6" fillId="12" borderId="1" xfId="0" applyNumberFormat="1" applyFont="1" applyFill="1" applyBorder="1" applyAlignment="1">
      <alignment vertical="top" wrapText="1"/>
    </xf>
    <xf numFmtId="49" fontId="50" fillId="0" borderId="6" xfId="0" applyNumberFormat="1" applyFont="1" applyFill="1" applyBorder="1" applyAlignment="1">
      <alignment horizontal="center" vertical="top" wrapText="1"/>
    </xf>
    <xf numFmtId="0" fontId="51" fillId="0" borderId="6" xfId="0" applyFont="1" applyFill="1" applyBorder="1" applyAlignment="1">
      <alignment vertical="top" wrapText="1"/>
    </xf>
    <xf numFmtId="4" fontId="51" fillId="0" borderId="1" xfId="0" applyNumberFormat="1" applyFont="1" applyFill="1" applyBorder="1" applyAlignment="1">
      <alignment vertical="top" wrapText="1"/>
    </xf>
    <xf numFmtId="4" fontId="51" fillId="5" borderId="1" xfId="0" applyNumberFormat="1" applyFont="1" applyFill="1" applyBorder="1" applyAlignment="1">
      <alignment vertical="top" wrapText="1"/>
    </xf>
    <xf numFmtId="4" fontId="51" fillId="11" borderId="1" xfId="0" applyNumberFormat="1" applyFont="1" applyFill="1" applyBorder="1" applyAlignment="1">
      <alignment vertical="top" wrapText="1"/>
    </xf>
    <xf numFmtId="4" fontId="51" fillId="10" borderId="6" xfId="0" applyNumberFormat="1" applyFont="1" applyFill="1" applyBorder="1" applyAlignment="1">
      <alignment vertical="top" wrapText="1"/>
    </xf>
    <xf numFmtId="4" fontId="71" fillId="0" borderId="1" xfId="0" applyNumberFormat="1" applyFont="1" applyFill="1" applyBorder="1" applyAlignment="1">
      <alignment vertical="top" wrapText="1"/>
    </xf>
    <xf numFmtId="4" fontId="51" fillId="0" borderId="4" xfId="0" applyNumberFormat="1" applyFont="1" applyFill="1" applyBorder="1" applyAlignment="1">
      <alignment vertical="top" wrapText="1"/>
    </xf>
    <xf numFmtId="170" fontId="6" fillId="3" borderId="1" xfId="0" applyNumberFormat="1" applyFont="1" applyFill="1" applyBorder="1" applyAlignment="1">
      <alignment vertical="top"/>
    </xf>
    <xf numFmtId="0" fontId="0" fillId="0" borderId="1" xfId="0" applyBorder="1" applyAlignment="1">
      <alignment vertical="top"/>
    </xf>
    <xf numFmtId="4" fontId="6" fillId="5" borderId="1" xfId="0" applyNumberFormat="1" applyFont="1" applyFill="1" applyBorder="1" applyAlignment="1">
      <alignment horizontal="right" vertical="top" wrapText="1"/>
    </xf>
    <xf numFmtId="4" fontId="6" fillId="11" borderId="4" xfId="0" applyNumberFormat="1" applyFont="1" applyFill="1" applyBorder="1" applyAlignment="1">
      <alignment vertical="top" wrapText="1"/>
    </xf>
    <xf numFmtId="4" fontId="6" fillId="10" borderId="0" xfId="0" applyNumberFormat="1" applyFont="1" applyFill="1" applyBorder="1" applyAlignment="1">
      <alignment vertical="top" wrapText="1"/>
    </xf>
    <xf numFmtId="4" fontId="6" fillId="0" borderId="4" xfId="0" applyNumberFormat="1" applyFont="1" applyFill="1" applyBorder="1" applyAlignment="1">
      <alignment vertical="top" wrapText="1"/>
    </xf>
    <xf numFmtId="4" fontId="6" fillId="12" borderId="0" xfId="0" applyNumberFormat="1" applyFont="1" applyFill="1" applyBorder="1" applyAlignment="1">
      <alignment vertical="top" wrapText="1"/>
    </xf>
    <xf numFmtId="4" fontId="26" fillId="0" borderId="1" xfId="0" applyNumberFormat="1" applyFont="1" applyFill="1" applyBorder="1" applyAlignment="1">
      <alignment vertical="top" wrapText="1"/>
    </xf>
    <xf numFmtId="4" fontId="6" fillId="3" borderId="1" xfId="0" applyNumberFormat="1" applyFont="1" applyFill="1" applyBorder="1" applyAlignment="1">
      <alignment vertical="top"/>
    </xf>
    <xf numFmtId="164" fontId="6" fillId="0" borderId="1" xfId="5" applyFont="1" applyFill="1" applyBorder="1" applyAlignment="1">
      <alignment vertical="top" wrapText="1"/>
    </xf>
    <xf numFmtId="4" fontId="58" fillId="0" borderId="1" xfId="0" applyNumberFormat="1" applyFont="1" applyFill="1" applyBorder="1" applyAlignment="1">
      <alignment vertical="top" wrapText="1"/>
    </xf>
    <xf numFmtId="4" fontId="58" fillId="0" borderId="4" xfId="0" applyNumberFormat="1" applyFont="1" applyFill="1" applyBorder="1" applyAlignment="1">
      <alignment vertical="top" wrapText="1"/>
    </xf>
    <xf numFmtId="4" fontId="6" fillId="8" borderId="1" xfId="0" applyNumberFormat="1" applyFont="1" applyFill="1" applyBorder="1" applyAlignment="1">
      <alignment vertical="top" wrapText="1"/>
    </xf>
    <xf numFmtId="4" fontId="6" fillId="11" borderId="3" xfId="0" applyNumberFormat="1" applyFont="1" applyFill="1" applyBorder="1" applyAlignment="1">
      <alignment vertical="top" wrapText="1"/>
    </xf>
    <xf numFmtId="4" fontId="6" fillId="0" borderId="3" xfId="0" applyNumberFormat="1" applyFont="1" applyFill="1" applyBorder="1" applyAlignment="1">
      <alignment vertical="top" wrapText="1"/>
    </xf>
    <xf numFmtId="4" fontId="6" fillId="0" borderId="5" xfId="0" applyNumberFormat="1" applyFont="1" applyFill="1" applyBorder="1" applyAlignment="1">
      <alignment vertical="top" wrapText="1"/>
    </xf>
    <xf numFmtId="4" fontId="6" fillId="10" borderId="1" xfId="0" applyNumberFormat="1" applyFont="1" applyFill="1" applyBorder="1" applyAlignment="1">
      <alignment vertical="top" wrapText="1"/>
    </xf>
    <xf numFmtId="4" fontId="59" fillId="0" borderId="1" xfId="0" applyNumberFormat="1" applyFont="1" applyFill="1" applyBorder="1" applyAlignment="1">
      <alignment vertical="top" wrapText="1"/>
    </xf>
    <xf numFmtId="49" fontId="6" fillId="20" borderId="1" xfId="0" applyNumberFormat="1" applyFont="1" applyFill="1" applyBorder="1" applyAlignment="1">
      <alignment horizontal="center" vertical="top"/>
    </xf>
    <xf numFmtId="4" fontId="26" fillId="0" borderId="1" xfId="0" applyNumberFormat="1" applyFont="1" applyFill="1" applyBorder="1" applyAlignment="1">
      <alignment vertical="top"/>
    </xf>
    <xf numFmtId="49" fontId="6" fillId="0" borderId="3" xfId="0" applyNumberFormat="1" applyFont="1" applyFill="1" applyBorder="1" applyAlignment="1">
      <alignment vertical="top"/>
    </xf>
    <xf numFmtId="4" fontId="5" fillId="0" borderId="1" xfId="0" applyNumberFormat="1" applyFont="1" applyFill="1" applyBorder="1" applyAlignment="1">
      <alignment vertical="top" wrapText="1"/>
    </xf>
    <xf numFmtId="49" fontId="6" fillId="0" borderId="1" xfId="0" applyNumberFormat="1" applyFont="1" applyFill="1" applyBorder="1" applyAlignment="1">
      <alignment vertical="top"/>
    </xf>
    <xf numFmtId="49" fontId="6" fillId="6" borderId="1" xfId="0" applyNumberFormat="1" applyFont="1" applyFill="1" applyBorder="1" applyAlignment="1">
      <alignment horizontal="center" vertical="top"/>
    </xf>
    <xf numFmtId="49" fontId="6" fillId="6" borderId="1" xfId="0" applyNumberFormat="1" applyFont="1" applyFill="1" applyBorder="1" applyAlignment="1">
      <alignment vertical="top"/>
    </xf>
    <xf numFmtId="49" fontId="12" fillId="6" borderId="1" xfId="0" applyNumberFormat="1" applyFont="1" applyFill="1" applyBorder="1" applyAlignment="1">
      <alignment horizontal="center" vertical="top"/>
    </xf>
    <xf numFmtId="49" fontId="6" fillId="6" borderId="3" xfId="0" applyNumberFormat="1" applyFont="1" applyFill="1" applyBorder="1" applyAlignment="1">
      <alignment horizontal="center" vertical="top"/>
    </xf>
    <xf numFmtId="4" fontId="6" fillId="6" borderId="1" xfId="0" applyNumberFormat="1" applyFont="1" applyFill="1" applyBorder="1" applyAlignment="1">
      <alignment vertical="top" wrapText="1"/>
    </xf>
    <xf numFmtId="49" fontId="6" fillId="6" borderId="2" xfId="0" applyNumberFormat="1" applyFont="1" applyFill="1" applyBorder="1" applyAlignment="1">
      <alignment vertical="top"/>
    </xf>
    <xf numFmtId="49" fontId="72" fillId="0" borderId="1" xfId="0" applyNumberFormat="1" applyFont="1" applyFill="1" applyBorder="1" applyAlignment="1">
      <alignment horizontal="center" vertical="top"/>
    </xf>
    <xf numFmtId="49" fontId="72" fillId="0" borderId="1" xfId="0" applyNumberFormat="1" applyFont="1" applyFill="1" applyBorder="1" applyAlignment="1">
      <alignment vertical="top"/>
    </xf>
    <xf numFmtId="49" fontId="72" fillId="0" borderId="3" xfId="0" applyNumberFormat="1" applyFont="1" applyFill="1" applyBorder="1" applyAlignment="1">
      <alignment horizontal="center" vertical="top"/>
    </xf>
    <xf numFmtId="4" fontId="72" fillId="3" borderId="1" xfId="0" applyNumberFormat="1" applyFont="1" applyFill="1" applyBorder="1" applyAlignment="1">
      <alignment vertical="top"/>
    </xf>
    <xf numFmtId="4" fontId="72" fillId="5" borderId="1" xfId="0" applyNumberFormat="1" applyFont="1" applyFill="1" applyBorder="1" applyAlignment="1">
      <alignment horizontal="right" vertical="top" wrapText="1"/>
    </xf>
    <xf numFmtId="4" fontId="72" fillId="11" borderId="1" xfId="0" applyNumberFormat="1" applyFont="1" applyFill="1" applyBorder="1" applyAlignment="1">
      <alignment vertical="top"/>
    </xf>
    <xf numFmtId="4" fontId="72" fillId="8" borderId="1" xfId="0" applyNumberFormat="1" applyFont="1" applyFill="1" applyBorder="1" applyAlignment="1">
      <alignment vertical="top" wrapText="1"/>
    </xf>
    <xf numFmtId="4" fontId="72" fillId="10" borderId="1" xfId="0" applyNumberFormat="1" applyFont="1" applyFill="1" applyBorder="1" applyAlignment="1">
      <alignment vertical="top" wrapText="1"/>
    </xf>
    <xf numFmtId="4" fontId="73" fillId="0" borderId="1" xfId="0" applyNumberFormat="1" applyFont="1" applyFill="1" applyBorder="1" applyAlignment="1">
      <alignment vertical="top" wrapText="1"/>
    </xf>
    <xf numFmtId="49" fontId="72" fillId="6" borderId="1" xfId="0" applyNumberFormat="1" applyFont="1" applyFill="1" applyBorder="1" applyAlignment="1">
      <alignment horizontal="center" vertical="top"/>
    </xf>
    <xf numFmtId="49" fontId="72" fillId="6" borderId="2" xfId="0" applyNumberFormat="1" applyFont="1" applyFill="1" applyBorder="1" applyAlignment="1">
      <alignment vertical="top"/>
    </xf>
    <xf numFmtId="49" fontId="72" fillId="6" borderId="3" xfId="0" applyNumberFormat="1" applyFont="1" applyFill="1" applyBorder="1" applyAlignment="1">
      <alignment horizontal="center" vertical="top"/>
    </xf>
    <xf numFmtId="4" fontId="72" fillId="6" borderId="1" xfId="0" applyNumberFormat="1" applyFont="1" applyFill="1" applyBorder="1" applyAlignment="1">
      <alignment vertical="top" wrapText="1"/>
    </xf>
    <xf numFmtId="0" fontId="6" fillId="0" borderId="1" xfId="0" applyNumberFormat="1" applyFont="1" applyFill="1" applyBorder="1" applyAlignment="1">
      <alignment horizontal="center" vertical="top"/>
    </xf>
    <xf numFmtId="4" fontId="6" fillId="0" borderId="3" xfId="0" applyNumberFormat="1" applyFont="1" applyFill="1" applyBorder="1" applyAlignment="1">
      <alignment vertical="top"/>
    </xf>
    <xf numFmtId="4" fontId="6" fillId="5" borderId="1" xfId="0" applyNumberFormat="1" applyFont="1" applyFill="1" applyBorder="1" applyAlignment="1">
      <alignment horizontal="right" vertical="top"/>
    </xf>
    <xf numFmtId="49" fontId="6" fillId="21" borderId="1" xfId="0" applyNumberFormat="1" applyFont="1" applyFill="1" applyBorder="1" applyAlignment="1">
      <alignment horizontal="center" vertical="top"/>
    </xf>
    <xf numFmtId="4" fontId="6" fillId="11" borderId="4" xfId="0" applyNumberFormat="1" applyFont="1" applyFill="1" applyBorder="1" applyAlignment="1">
      <alignment vertical="top"/>
    </xf>
    <xf numFmtId="170" fontId="6" fillId="0" borderId="1" xfId="0" applyNumberFormat="1" applyFont="1" applyFill="1" applyBorder="1" applyAlignment="1">
      <alignment horizontal="right" vertical="top"/>
    </xf>
    <xf numFmtId="4" fontId="6" fillId="0" borderId="1" xfId="0" applyNumberFormat="1" applyFont="1" applyFill="1" applyBorder="1" applyAlignment="1">
      <alignment horizontal="right" vertical="top"/>
    </xf>
    <xf numFmtId="4" fontId="6" fillId="8" borderId="1" xfId="0" applyNumberFormat="1" applyFont="1" applyFill="1" applyBorder="1" applyAlignment="1">
      <alignment vertical="top"/>
    </xf>
    <xf numFmtId="4" fontId="6" fillId="0" borderId="3" xfId="0" applyNumberFormat="1" applyFont="1" applyFill="1" applyBorder="1" applyAlignment="1">
      <alignment horizontal="center" vertical="top"/>
    </xf>
    <xf numFmtId="0" fontId="6" fillId="0" borderId="3" xfId="0" applyNumberFormat="1" applyFont="1" applyFill="1" applyBorder="1" applyAlignment="1">
      <alignment horizontal="right" vertical="top"/>
    </xf>
    <xf numFmtId="0" fontId="6" fillId="6" borderId="3" xfId="0" applyNumberFormat="1" applyFont="1" applyFill="1" applyBorder="1" applyAlignment="1">
      <alignment horizontal="right" vertical="top"/>
    </xf>
    <xf numFmtId="4" fontId="6" fillId="5" borderId="6" xfId="0" applyNumberFormat="1" applyFont="1" applyFill="1" applyBorder="1" applyAlignment="1">
      <alignment horizontal="right" vertical="top"/>
    </xf>
    <xf numFmtId="49" fontId="6" fillId="13" borderId="1" xfId="0" applyNumberFormat="1" applyFont="1" applyFill="1" applyBorder="1" applyAlignment="1">
      <alignment horizontal="center" vertical="top"/>
    </xf>
    <xf numFmtId="0" fontId="12" fillId="0" borderId="0" xfId="0" applyFont="1" applyAlignment="1">
      <alignment vertical="top"/>
    </xf>
    <xf numFmtId="4" fontId="27" fillId="0" borderId="3" xfId="0" applyNumberFormat="1" applyFont="1" applyFill="1" applyBorder="1" applyAlignment="1">
      <alignment horizontal="right" vertical="top"/>
    </xf>
    <xf numFmtId="4" fontId="27" fillId="0" borderId="3" xfId="0" applyNumberFormat="1" applyFont="1" applyFill="1" applyBorder="1" applyAlignment="1">
      <alignment horizontal="left" vertical="top"/>
    </xf>
    <xf numFmtId="170" fontId="6" fillId="3" borderId="1" xfId="0" applyNumberFormat="1" applyFont="1" applyFill="1" applyBorder="1" applyAlignment="1">
      <alignment horizontal="right" vertical="top"/>
    </xf>
    <xf numFmtId="49" fontId="6" fillId="0" borderId="4" xfId="0" applyNumberFormat="1" applyFont="1" applyFill="1" applyBorder="1" applyAlignment="1">
      <alignment horizontal="center" vertical="top"/>
    </xf>
    <xf numFmtId="49" fontId="6" fillId="0" borderId="3" xfId="0" applyNumberFormat="1" applyFont="1" applyFill="1" applyBorder="1" applyAlignment="1">
      <alignment horizontal="left" vertical="top"/>
    </xf>
    <xf numFmtId="0" fontId="6" fillId="0" borderId="1" xfId="0" applyFont="1" applyFill="1" applyBorder="1" applyAlignment="1">
      <alignment horizontal="center" vertical="top"/>
    </xf>
    <xf numFmtId="0" fontId="12" fillId="0" borderId="1" xfId="0" applyFont="1" applyFill="1" applyBorder="1" applyAlignment="1">
      <alignment horizontal="center" vertical="top"/>
    </xf>
    <xf numFmtId="4" fontId="6" fillId="0" borderId="1" xfId="0" applyNumberFormat="1" applyFont="1" applyFill="1" applyBorder="1" applyAlignment="1">
      <alignment horizontal="right" vertical="top" wrapText="1"/>
    </xf>
    <xf numFmtId="4" fontId="8" fillId="5" borderId="1" xfId="0" applyNumberFormat="1" applyFont="1" applyFill="1" applyBorder="1" applyAlignment="1">
      <alignment horizontal="right" vertical="top" wrapText="1"/>
    </xf>
    <xf numFmtId="0" fontId="6" fillId="0" borderId="3" xfId="0" applyFont="1" applyFill="1" applyBorder="1" applyAlignment="1">
      <alignment horizontal="center" vertical="top"/>
    </xf>
    <xf numFmtId="0" fontId="6" fillId="0" borderId="3" xfId="0" applyFont="1" applyFill="1" applyBorder="1" applyAlignment="1">
      <alignment vertical="top"/>
    </xf>
    <xf numFmtId="4" fontId="6" fillId="11" borderId="3" xfId="0" applyNumberFormat="1" applyFont="1" applyFill="1" applyBorder="1" applyAlignment="1">
      <alignment vertical="top"/>
    </xf>
    <xf numFmtId="4" fontId="5" fillId="0" borderId="2" xfId="0" applyNumberFormat="1" applyFont="1" applyFill="1" applyBorder="1" applyAlignment="1">
      <alignment vertical="top"/>
    </xf>
    <xf numFmtId="4" fontId="6" fillId="0" borderId="2" xfId="0" applyNumberFormat="1" applyFont="1" applyFill="1" applyBorder="1" applyAlignment="1">
      <alignment vertical="top" wrapText="1"/>
    </xf>
    <xf numFmtId="4" fontId="6" fillId="12" borderId="10" xfId="0" applyNumberFormat="1" applyFont="1" applyFill="1" applyBorder="1" applyAlignment="1">
      <alignment vertical="top" wrapText="1"/>
    </xf>
    <xf numFmtId="0" fontId="12" fillId="0" borderId="0" xfId="0" applyFont="1" applyFill="1" applyBorder="1" applyAlignment="1">
      <alignment horizontal="center" vertical="top"/>
    </xf>
    <xf numFmtId="0" fontId="6" fillId="0" borderId="3" xfId="0" applyNumberFormat="1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left" vertical="center" wrapText="1"/>
    </xf>
    <xf numFmtId="0" fontId="6" fillId="0" borderId="1" xfId="0" applyNumberFormat="1" applyFont="1" applyFill="1" applyBorder="1" applyAlignment="1">
      <alignment horizontal="left" vertical="center" wrapText="1"/>
    </xf>
    <xf numFmtId="0" fontId="5" fillId="9" borderId="1" xfId="0" applyFont="1" applyFill="1" applyBorder="1" applyAlignment="1">
      <alignment horizontal="center" vertical="top" wrapText="1"/>
    </xf>
    <xf numFmtId="0" fontId="5" fillId="22" borderId="2" xfId="0" applyFont="1" applyFill="1" applyBorder="1" applyAlignment="1">
      <alignment horizontal="center" vertical="top" wrapText="1"/>
    </xf>
    <xf numFmtId="0" fontId="5" fillId="43" borderId="2" xfId="0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center" vertical="top" wrapText="1"/>
    </xf>
    <xf numFmtId="4" fontId="26" fillId="0" borderId="6" xfId="0" applyNumberFormat="1" applyFont="1" applyFill="1" applyBorder="1" applyAlignment="1">
      <alignment vertical="top"/>
    </xf>
    <xf numFmtId="0" fontId="5" fillId="44" borderId="2" xfId="0" applyFont="1" applyFill="1" applyBorder="1" applyAlignment="1">
      <alignment horizontal="center" vertical="top" wrapText="1"/>
    </xf>
    <xf numFmtId="0" fontId="27" fillId="0" borderId="3" xfId="0" applyFont="1" applyFill="1" applyBorder="1" applyAlignment="1">
      <alignment horizontal="left" vertical="top" wrapText="1"/>
    </xf>
    <xf numFmtId="0" fontId="6" fillId="0" borderId="3" xfId="0" applyNumberFormat="1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left" vertical="top" wrapText="1"/>
    </xf>
    <xf numFmtId="0" fontId="5" fillId="0" borderId="0" xfId="0" applyFont="1" applyAlignment="1">
      <alignment vertical="top"/>
    </xf>
    <xf numFmtId="0" fontId="5" fillId="0" borderId="1" xfId="0" applyFont="1" applyBorder="1" applyAlignment="1">
      <alignment horizontal="center" vertical="top"/>
    </xf>
    <xf numFmtId="0" fontId="6" fillId="0" borderId="1" xfId="0" applyNumberFormat="1" applyFont="1" applyBorder="1" applyAlignment="1">
      <alignment horizontal="center" vertical="top" wrapText="1"/>
    </xf>
    <xf numFmtId="0" fontId="7" fillId="14" borderId="1" xfId="0" applyFont="1" applyFill="1" applyBorder="1" applyAlignment="1">
      <alignment horizontal="left" vertical="top" wrapText="1"/>
    </xf>
    <xf numFmtId="4" fontId="5" fillId="14" borderId="1" xfId="0" applyNumberFormat="1" applyFont="1" applyFill="1" applyBorder="1" applyAlignment="1">
      <alignment vertical="top"/>
    </xf>
    <xf numFmtId="0" fontId="6" fillId="14" borderId="0" xfId="0" applyFont="1" applyFill="1" applyAlignment="1">
      <alignment vertical="top"/>
    </xf>
    <xf numFmtId="4" fontId="5" fillId="0" borderId="1" xfId="0" applyNumberFormat="1" applyFont="1" applyBorder="1" applyAlignment="1">
      <alignment vertical="top"/>
    </xf>
    <xf numFmtId="4" fontId="6" fillId="0" borderId="1" xfId="0" applyNumberFormat="1" applyFont="1" applyBorder="1" applyAlignment="1">
      <alignment vertical="top"/>
    </xf>
    <xf numFmtId="0" fontId="18" fillId="14" borderId="1" xfId="0" applyFont="1" applyFill="1" applyBorder="1" applyAlignment="1">
      <alignment vertical="top"/>
    </xf>
    <xf numFmtId="4" fontId="18" fillId="14" borderId="1" xfId="0" applyNumberFormat="1" applyFont="1" applyFill="1" applyBorder="1" applyAlignment="1">
      <alignment vertical="top"/>
    </xf>
    <xf numFmtId="0" fontId="18" fillId="0" borderId="1" xfId="0" applyFont="1" applyBorder="1" applyAlignment="1">
      <alignment vertical="top"/>
    </xf>
    <xf numFmtId="0" fontId="18" fillId="0" borderId="1" xfId="0" applyFont="1" applyFill="1" applyBorder="1" applyAlignment="1">
      <alignment vertical="top"/>
    </xf>
    <xf numFmtId="4" fontId="18" fillId="0" borderId="1" xfId="0" applyNumberFormat="1" applyFont="1" applyBorder="1" applyAlignment="1">
      <alignment vertical="top"/>
    </xf>
    <xf numFmtId="0" fontId="7" fillId="7" borderId="1" xfId="0" applyFont="1" applyFill="1" applyBorder="1" applyAlignment="1">
      <alignment horizontal="left" vertical="top" wrapText="1"/>
    </xf>
    <xf numFmtId="4" fontId="5" fillId="7" borderId="1" xfId="0" applyNumberFormat="1" applyFont="1" applyFill="1" applyBorder="1" applyAlignment="1">
      <alignment vertical="top"/>
    </xf>
    <xf numFmtId="0" fontId="6" fillId="7" borderId="0" xfId="0" applyFont="1" applyFill="1" applyAlignment="1">
      <alignment vertical="top"/>
    </xf>
    <xf numFmtId="0" fontId="18" fillId="7" borderId="1" xfId="0" applyFont="1" applyFill="1" applyBorder="1" applyAlignment="1">
      <alignment vertical="top"/>
    </xf>
    <xf numFmtId="4" fontId="18" fillId="7" borderId="1" xfId="0" applyNumberFormat="1" applyFont="1" applyFill="1" applyBorder="1" applyAlignment="1">
      <alignment vertical="top"/>
    </xf>
    <xf numFmtId="0" fontId="26" fillId="0" borderId="1" xfId="0" applyFont="1" applyBorder="1" applyAlignment="1">
      <alignment vertical="top" wrapText="1"/>
    </xf>
    <xf numFmtId="0" fontId="26" fillId="0" borderId="1" xfId="0" applyFont="1" applyFill="1" applyBorder="1" applyAlignment="1">
      <alignment vertical="top" wrapText="1"/>
    </xf>
    <xf numFmtId="4" fontId="26" fillId="0" borderId="1" xfId="0" applyNumberFormat="1" applyFont="1" applyBorder="1" applyAlignment="1">
      <alignment vertical="top"/>
    </xf>
    <xf numFmtId="0" fontId="26" fillId="0" borderId="0" xfId="0" applyFont="1" applyAlignment="1">
      <alignment vertical="top"/>
    </xf>
    <xf numFmtId="0" fontId="21" fillId="0" borderId="1" xfId="0" applyFont="1" applyFill="1" applyBorder="1" applyAlignment="1">
      <alignment vertical="top"/>
    </xf>
    <xf numFmtId="4" fontId="21" fillId="0" borderId="1" xfId="0" applyNumberFormat="1" applyFont="1" applyBorder="1" applyAlignment="1">
      <alignment vertical="top"/>
    </xf>
    <xf numFmtId="4" fontId="5" fillId="0" borderId="19" xfId="0" applyNumberFormat="1" applyFont="1" applyBorder="1" applyAlignment="1">
      <alignment vertical="top"/>
    </xf>
    <xf numFmtId="4" fontId="6" fillId="0" borderId="24" xfId="0" applyNumberFormat="1" applyFont="1" applyBorder="1" applyAlignment="1">
      <alignment vertical="top"/>
    </xf>
    <xf numFmtId="4" fontId="6" fillId="0" borderId="25" xfId="0" applyNumberFormat="1" applyFont="1" applyBorder="1" applyAlignment="1">
      <alignment vertical="top"/>
    </xf>
    <xf numFmtId="178" fontId="6" fillId="13" borderId="8" xfId="0" applyNumberFormat="1" applyFont="1" applyFill="1" applyBorder="1" applyAlignment="1" applyProtection="1">
      <alignment horizontal="left" vertical="center" wrapText="1"/>
    </xf>
    <xf numFmtId="165" fontId="6" fillId="3" borderId="1" xfId="0" applyNumberFormat="1" applyFont="1" applyFill="1" applyBorder="1" applyAlignment="1">
      <alignment horizontal="right" vertical="top" wrapText="1"/>
    </xf>
    <xf numFmtId="165" fontId="12" fillId="0" borderId="2" xfId="0" applyNumberFormat="1" applyFont="1" applyFill="1" applyBorder="1" applyAlignment="1">
      <alignment horizontal="right" vertical="top" wrapText="1"/>
    </xf>
    <xf numFmtId="4" fontId="6" fillId="0" borderId="1" xfId="0" applyNumberFormat="1" applyFont="1" applyFill="1" applyBorder="1" applyAlignment="1">
      <alignment horizontal="right" vertical="center"/>
    </xf>
    <xf numFmtId="170" fontId="6" fillId="3" borderId="1" xfId="0" applyNumberFormat="1" applyFont="1" applyFill="1" applyBorder="1" applyAlignment="1">
      <alignment horizontal="right" vertical="center"/>
    </xf>
    <xf numFmtId="4" fontId="6" fillId="0" borderId="1" xfId="0" applyNumberFormat="1" applyFont="1" applyFill="1" applyBorder="1" applyAlignment="1">
      <alignment vertical="center"/>
    </xf>
    <xf numFmtId="4" fontId="6" fillId="5" borderId="1" xfId="0" applyNumberFormat="1" applyFont="1" applyFill="1" applyBorder="1" applyAlignment="1">
      <alignment vertical="center"/>
    </xf>
    <xf numFmtId="4" fontId="6" fillId="11" borderId="1" xfId="0" applyNumberFormat="1" applyFont="1" applyFill="1" applyBorder="1" applyAlignment="1">
      <alignment vertical="center"/>
    </xf>
    <xf numFmtId="4" fontId="6" fillId="5" borderId="1" xfId="0" applyNumberFormat="1" applyFont="1" applyFill="1" applyBorder="1" applyAlignment="1">
      <alignment horizontal="right" vertical="center"/>
    </xf>
    <xf numFmtId="4" fontId="6" fillId="8" borderId="1" xfId="0" applyNumberFormat="1" applyFont="1" applyFill="1" applyBorder="1" applyAlignment="1">
      <alignment vertical="center"/>
    </xf>
    <xf numFmtId="4" fontId="6" fillId="11" borderId="1" xfId="0" applyNumberFormat="1" applyFont="1" applyFill="1" applyBorder="1" applyAlignment="1">
      <alignment vertical="center" wrapText="1"/>
    </xf>
    <xf numFmtId="4" fontId="6" fillId="11" borderId="4" xfId="0" applyNumberFormat="1" applyFont="1" applyFill="1" applyBorder="1" applyAlignment="1">
      <alignment vertical="center"/>
    </xf>
    <xf numFmtId="4" fontId="6" fillId="0" borderId="6" xfId="0" applyNumberFormat="1" applyFont="1" applyFill="1" applyBorder="1" applyAlignment="1">
      <alignment vertical="center"/>
    </xf>
    <xf numFmtId="170" fontId="6" fillId="3" borderId="1" xfId="0" applyNumberFormat="1" applyFont="1" applyFill="1" applyBorder="1" applyAlignment="1">
      <alignment vertical="center"/>
    </xf>
    <xf numFmtId="170" fontId="6" fillId="0" borderId="1" xfId="0" applyNumberFormat="1" applyFont="1" applyFill="1" applyBorder="1" applyAlignment="1">
      <alignment horizontal="right" vertical="center"/>
    </xf>
    <xf numFmtId="4" fontId="6" fillId="6" borderId="1" xfId="0" applyNumberFormat="1" applyFont="1" applyFill="1" applyBorder="1" applyAlignment="1">
      <alignment vertical="center" wrapText="1"/>
    </xf>
    <xf numFmtId="4" fontId="6" fillId="0" borderId="6" xfId="0" applyNumberFormat="1" applyFont="1" applyFill="1" applyBorder="1" applyAlignment="1">
      <alignment horizontal="right" vertical="center"/>
    </xf>
    <xf numFmtId="4" fontId="6" fillId="3" borderId="1" xfId="0" applyNumberFormat="1" applyFont="1" applyFill="1" applyBorder="1" applyAlignment="1">
      <alignment vertical="center"/>
    </xf>
    <xf numFmtId="4" fontId="45" fillId="0" borderId="1" xfId="0" applyNumberFormat="1" applyFont="1" applyFill="1" applyBorder="1" applyAlignment="1">
      <alignment vertical="center" wrapText="1"/>
    </xf>
    <xf numFmtId="4" fontId="26" fillId="0" borderId="1" xfId="0" applyNumberFormat="1" applyFont="1" applyFill="1" applyBorder="1" applyAlignment="1">
      <alignment vertical="center"/>
    </xf>
    <xf numFmtId="0" fontId="6" fillId="0" borderId="3" xfId="0" applyNumberFormat="1" applyFont="1" applyFill="1" applyBorder="1" applyAlignment="1">
      <alignment horizontal="right" vertical="center"/>
    </xf>
    <xf numFmtId="49" fontId="12" fillId="0" borderId="1" xfId="0" applyNumberFormat="1" applyFont="1" applyFill="1" applyBorder="1" applyAlignment="1">
      <alignment horizontal="center" vertical="center"/>
    </xf>
    <xf numFmtId="49" fontId="6" fillId="0" borderId="3" xfId="0" applyNumberFormat="1" applyFont="1" applyFill="1" applyBorder="1" applyAlignment="1">
      <alignment horizontal="left" vertical="center" wrapText="1" indent="2"/>
    </xf>
    <xf numFmtId="4" fontId="6" fillId="3" borderId="1" xfId="0" applyNumberFormat="1" applyFont="1" applyFill="1" applyBorder="1" applyAlignment="1">
      <alignment vertical="top" wrapText="1"/>
    </xf>
    <xf numFmtId="4" fontId="6" fillId="46" borderId="1" xfId="0" applyNumberFormat="1" applyFont="1" applyFill="1" applyBorder="1" applyAlignment="1">
      <alignment vertical="top"/>
    </xf>
    <xf numFmtId="49" fontId="53" fillId="46" borderId="6" xfId="0" applyNumberFormat="1" applyFont="1" applyFill="1" applyBorder="1" applyAlignment="1">
      <alignment horizontal="center" vertical="top" wrapText="1"/>
    </xf>
    <xf numFmtId="0" fontId="54" fillId="46" borderId="6" xfId="0" applyFont="1" applyFill="1" applyBorder="1" applyAlignment="1">
      <alignment vertical="top" wrapText="1"/>
    </xf>
    <xf numFmtId="4" fontId="54" fillId="46" borderId="1" xfId="0" applyNumberFormat="1" applyFont="1" applyFill="1" applyBorder="1" applyAlignment="1">
      <alignment vertical="top" wrapText="1"/>
    </xf>
    <xf numFmtId="4" fontId="54" fillId="46" borderId="6" xfId="0" applyNumberFormat="1" applyFont="1" applyFill="1" applyBorder="1" applyAlignment="1">
      <alignment vertical="top" wrapText="1"/>
    </xf>
    <xf numFmtId="0" fontId="7" fillId="46" borderId="0" xfId="0" applyFont="1" applyFill="1" applyAlignment="1">
      <alignment vertical="top"/>
    </xf>
    <xf numFmtId="4" fontId="35" fillId="46" borderId="0" xfId="0" applyNumberFormat="1" applyFont="1" applyFill="1" applyAlignment="1">
      <alignment vertical="top"/>
    </xf>
    <xf numFmtId="49" fontId="56" fillId="46" borderId="6" xfId="0" applyNumberFormat="1" applyFont="1" applyFill="1" applyBorder="1" applyAlignment="1">
      <alignment horizontal="center" vertical="top" wrapText="1"/>
    </xf>
    <xf numFmtId="0" fontId="57" fillId="46" borderId="6" xfId="0" applyFont="1" applyFill="1" applyBorder="1" applyAlignment="1">
      <alignment vertical="top" wrapText="1"/>
    </xf>
    <xf numFmtId="165" fontId="57" fillId="46" borderId="1" xfId="0" applyNumberFormat="1" applyFont="1" applyFill="1" applyBorder="1" applyAlignment="1">
      <alignment vertical="top" wrapText="1"/>
    </xf>
    <xf numFmtId="4" fontId="57" fillId="46" borderId="1" xfId="0" applyNumberFormat="1" applyFont="1" applyFill="1" applyBorder="1" applyAlignment="1">
      <alignment vertical="top" wrapText="1"/>
    </xf>
    <xf numFmtId="0" fontId="45" fillId="46" borderId="1" xfId="0" applyFont="1" applyFill="1" applyBorder="1" applyAlignment="1">
      <alignment horizontal="right" vertical="top" wrapText="1"/>
    </xf>
    <xf numFmtId="49" fontId="35" fillId="46" borderId="1" xfId="0" applyNumberFormat="1" applyFont="1" applyFill="1" applyBorder="1" applyAlignment="1">
      <alignment horizontal="right" vertical="top"/>
    </xf>
    <xf numFmtId="49" fontId="40" fillId="46" borderId="1" xfId="0" applyNumberFormat="1" applyFont="1" applyFill="1" applyBorder="1" applyAlignment="1">
      <alignment horizontal="center" vertical="top"/>
    </xf>
    <xf numFmtId="4" fontId="45" fillId="46" borderId="1" xfId="0" applyNumberFormat="1" applyFont="1" applyFill="1" applyBorder="1" applyAlignment="1">
      <alignment vertical="top" wrapText="1"/>
    </xf>
    <xf numFmtId="4" fontId="6" fillId="46" borderId="0" xfId="0" applyNumberFormat="1" applyFont="1" applyFill="1" applyBorder="1" applyAlignment="1">
      <alignment vertical="top"/>
    </xf>
    <xf numFmtId="4" fontId="6" fillId="46" borderId="0" xfId="0" applyNumberFormat="1" applyFont="1" applyFill="1" applyAlignment="1">
      <alignment vertical="top"/>
    </xf>
    <xf numFmtId="0" fontId="6" fillId="46" borderId="0" xfId="0" applyFont="1" applyFill="1" applyAlignment="1">
      <alignment vertical="top"/>
    </xf>
    <xf numFmtId="0" fontId="47" fillId="46" borderId="9" xfId="0" applyFont="1" applyFill="1" applyBorder="1" applyAlignment="1">
      <alignment vertical="top" wrapText="1"/>
    </xf>
    <xf numFmtId="0" fontId="47" fillId="46" borderId="6" xfId="0" applyFont="1" applyFill="1" applyBorder="1" applyAlignment="1">
      <alignment vertical="top" wrapText="1"/>
    </xf>
    <xf numFmtId="4" fontId="48" fillId="46" borderId="1" xfId="0" applyNumberFormat="1" applyFont="1" applyFill="1" applyBorder="1" applyAlignment="1">
      <alignment vertical="top" wrapText="1"/>
    </xf>
    <xf numFmtId="0" fontId="57" fillId="46" borderId="1" xfId="0" applyFont="1" applyFill="1" applyBorder="1" applyAlignment="1">
      <alignment horizontal="right" vertical="top" wrapText="1"/>
    </xf>
    <xf numFmtId="49" fontId="57" fillId="46" borderId="1" xfId="0" applyNumberFormat="1" applyFont="1" applyFill="1" applyBorder="1" applyAlignment="1">
      <alignment horizontal="right" vertical="top"/>
    </xf>
    <xf numFmtId="49" fontId="56" fillId="46" borderId="1" xfId="0" applyNumberFormat="1" applyFont="1" applyFill="1" applyBorder="1" applyAlignment="1">
      <alignment horizontal="center" vertical="top"/>
    </xf>
    <xf numFmtId="0" fontId="35" fillId="46" borderId="0" xfId="0" applyFont="1" applyFill="1" applyAlignment="1">
      <alignment vertical="top"/>
    </xf>
    <xf numFmtId="4" fontId="61" fillId="46" borderId="1" xfId="0" applyNumberFormat="1" applyFont="1" applyFill="1" applyBorder="1" applyAlignment="1">
      <alignment vertical="top"/>
    </xf>
    <xf numFmtId="0" fontId="57" fillId="46" borderId="0" xfId="0" applyFont="1" applyFill="1" applyAlignment="1">
      <alignment vertical="top"/>
    </xf>
    <xf numFmtId="49" fontId="60" fillId="46" borderId="1" xfId="0" applyNumberFormat="1" applyFont="1" applyFill="1" applyBorder="1" applyAlignment="1">
      <alignment horizontal="right" vertical="top"/>
    </xf>
    <xf numFmtId="49" fontId="77" fillId="46" borderId="1" xfId="0" applyNumberFormat="1" applyFont="1" applyFill="1" applyBorder="1" applyAlignment="1">
      <alignment horizontal="center" vertical="top"/>
    </xf>
    <xf numFmtId="4" fontId="63" fillId="46" borderId="1" xfId="0" applyNumberFormat="1" applyFont="1" applyFill="1" applyBorder="1" applyAlignment="1">
      <alignment vertical="center" wrapText="1"/>
    </xf>
    <xf numFmtId="4" fontId="63" fillId="46" borderId="1" xfId="0" applyNumberFormat="1" applyFont="1" applyFill="1" applyBorder="1" applyAlignment="1">
      <alignment vertical="top" wrapText="1"/>
    </xf>
    <xf numFmtId="4" fontId="63" fillId="46" borderId="6" xfId="0" applyNumberFormat="1" applyFont="1" applyFill="1" applyBorder="1" applyAlignment="1">
      <alignment vertical="top" wrapText="1"/>
    </xf>
    <xf numFmtId="0" fontId="60" fillId="46" borderId="0" xfId="0" applyFont="1" applyFill="1" applyAlignment="1">
      <alignment vertical="top"/>
    </xf>
    <xf numFmtId="4" fontId="63" fillId="46" borderId="0" xfId="0" applyNumberFormat="1" applyFont="1" applyFill="1" applyAlignment="1">
      <alignment vertical="top"/>
    </xf>
    <xf numFmtId="49" fontId="76" fillId="46" borderId="1" xfId="0" applyNumberFormat="1" applyFont="1" applyFill="1" applyBorder="1" applyAlignment="1">
      <alignment horizontal="right" vertical="top"/>
    </xf>
    <xf numFmtId="49" fontId="79" fillId="46" borderId="1" xfId="0" applyNumberFormat="1" applyFont="1" applyFill="1" applyBorder="1" applyAlignment="1">
      <alignment horizontal="center" vertical="top"/>
    </xf>
    <xf numFmtId="4" fontId="48" fillId="46" borderId="3" xfId="0" applyNumberFormat="1" applyFont="1" applyFill="1" applyBorder="1" applyAlignment="1">
      <alignment vertical="center" wrapText="1"/>
    </xf>
    <xf numFmtId="4" fontId="48" fillId="46" borderId="1" xfId="0" applyNumberFormat="1" applyFont="1" applyFill="1" applyBorder="1" applyAlignment="1">
      <alignment vertical="center" wrapText="1"/>
    </xf>
    <xf numFmtId="4" fontId="48" fillId="46" borderId="0" xfId="0" applyNumberFormat="1" applyFont="1" applyFill="1" applyBorder="1" applyAlignment="1">
      <alignment vertical="top" wrapText="1"/>
    </xf>
    <xf numFmtId="0" fontId="76" fillId="46" borderId="0" xfId="0" applyFont="1" applyFill="1" applyAlignment="1">
      <alignment vertical="top"/>
    </xf>
    <xf numFmtId="4" fontId="48" fillId="46" borderId="0" xfId="0" applyNumberFormat="1" applyFont="1" applyFill="1" applyAlignment="1">
      <alignment vertical="top"/>
    </xf>
    <xf numFmtId="0" fontId="63" fillId="46" borderId="1" xfId="0" applyFont="1" applyFill="1" applyBorder="1" applyAlignment="1">
      <alignment vertical="top"/>
    </xf>
    <xf numFmtId="49" fontId="64" fillId="46" borderId="1" xfId="0" applyNumberFormat="1" applyFont="1" applyFill="1" applyBorder="1" applyAlignment="1">
      <alignment horizontal="center" vertical="top"/>
    </xf>
    <xf numFmtId="0" fontId="63" fillId="46" borderId="0" xfId="0" applyFont="1" applyFill="1" applyAlignment="1">
      <alignment vertical="top"/>
    </xf>
    <xf numFmtId="0" fontId="51" fillId="46" borderId="1" xfId="0" applyFont="1" applyFill="1" applyBorder="1" applyAlignment="1">
      <alignment vertical="top"/>
    </xf>
    <xf numFmtId="49" fontId="12" fillId="46" borderId="1" xfId="0" applyNumberFormat="1" applyFont="1" applyFill="1" applyBorder="1" applyAlignment="1">
      <alignment horizontal="center" vertical="top"/>
    </xf>
    <xf numFmtId="0" fontId="51" fillId="46" borderId="0" xfId="0" applyFont="1" applyFill="1" applyAlignment="1">
      <alignment vertical="top"/>
    </xf>
    <xf numFmtId="49" fontId="63" fillId="46" borderId="1" xfId="0" applyNumberFormat="1" applyFont="1" applyFill="1" applyBorder="1" applyAlignment="1">
      <alignment horizontal="right" vertical="top"/>
    </xf>
    <xf numFmtId="4" fontId="26" fillId="46" borderId="1" xfId="0" applyNumberFormat="1" applyFont="1" applyFill="1" applyBorder="1" applyAlignment="1">
      <alignment vertical="top"/>
    </xf>
    <xf numFmtId="4" fontId="63" fillId="46" borderId="0" xfId="0" applyNumberFormat="1" applyFont="1" applyFill="1" applyBorder="1" applyAlignment="1">
      <alignment vertical="top" wrapText="1"/>
    </xf>
    <xf numFmtId="0" fontId="62" fillId="46" borderId="4" xfId="0" applyFont="1" applyFill="1" applyBorder="1" applyAlignment="1">
      <alignment vertical="top" wrapText="1"/>
    </xf>
    <xf numFmtId="0" fontId="62" fillId="46" borderId="9" xfId="0" applyFont="1" applyFill="1" applyBorder="1" applyAlignment="1">
      <alignment vertical="top" wrapText="1"/>
    </xf>
    <xf numFmtId="0" fontId="62" fillId="46" borderId="6" xfId="0" applyFont="1" applyFill="1" applyBorder="1" applyAlignment="1">
      <alignment vertical="top" wrapText="1"/>
    </xf>
    <xf numFmtId="0" fontId="6" fillId="46" borderId="1" xfId="0" applyFont="1" applyFill="1" applyBorder="1" applyAlignment="1">
      <alignment vertical="top"/>
    </xf>
    <xf numFmtId="4" fontId="51" fillId="46" borderId="1" xfId="0" applyNumberFormat="1" applyFont="1" applyFill="1" applyBorder="1" applyAlignment="1">
      <alignment vertical="top" wrapText="1"/>
    </xf>
    <xf numFmtId="4" fontId="51" fillId="46" borderId="6" xfId="0" applyNumberFormat="1" applyFont="1" applyFill="1" applyBorder="1" applyAlignment="1">
      <alignment vertical="top" wrapText="1"/>
    </xf>
    <xf numFmtId="0" fontId="49" fillId="46" borderId="4" xfId="0" applyFont="1" applyFill="1" applyBorder="1" applyAlignment="1">
      <alignment vertical="top" wrapText="1"/>
    </xf>
    <xf numFmtId="0" fontId="49" fillId="46" borderId="9" xfId="0" applyFont="1" applyFill="1" applyBorder="1" applyAlignment="1">
      <alignment vertical="top" wrapText="1"/>
    </xf>
    <xf numFmtId="0" fontId="49" fillId="46" borderId="6" xfId="0" applyFont="1" applyFill="1" applyBorder="1" applyAlignment="1">
      <alignment vertical="top" wrapText="1"/>
    </xf>
    <xf numFmtId="4" fontId="51" fillId="46" borderId="0" xfId="0" applyNumberFormat="1" applyFont="1" applyFill="1" applyBorder="1" applyAlignment="1">
      <alignment vertical="top" wrapText="1"/>
    </xf>
    <xf numFmtId="49" fontId="65" fillId="46" borderId="1" xfId="0" applyNumberFormat="1" applyFont="1" applyFill="1" applyBorder="1" applyAlignment="1">
      <alignment horizontal="center" vertical="top"/>
    </xf>
    <xf numFmtId="165" fontId="54" fillId="46" borderId="6" xfId="0" applyNumberFormat="1" applyFont="1" applyFill="1" applyBorder="1" applyAlignment="1">
      <alignment vertical="top" wrapText="1"/>
    </xf>
    <xf numFmtId="165" fontId="54" fillId="46" borderId="1" xfId="0" applyNumberFormat="1" applyFont="1" applyFill="1" applyBorder="1" applyAlignment="1">
      <alignment vertical="top" wrapText="1"/>
    </xf>
    <xf numFmtId="4" fontId="54" fillId="46" borderId="0" xfId="0" applyNumberFormat="1" applyFont="1" applyFill="1" applyBorder="1" applyAlignment="1">
      <alignment vertical="top" wrapText="1"/>
    </xf>
    <xf numFmtId="0" fontId="8" fillId="46" borderId="1" xfId="0" applyFont="1" applyFill="1" applyBorder="1" applyAlignment="1">
      <alignment vertical="top"/>
    </xf>
    <xf numFmtId="0" fontId="8" fillId="46" borderId="0" xfId="0" applyFont="1" applyFill="1" applyAlignment="1">
      <alignment vertical="top"/>
    </xf>
    <xf numFmtId="4" fontId="6" fillId="42" borderId="2" xfId="0" applyNumberFormat="1" applyFont="1" applyFill="1" applyBorder="1" applyAlignment="1">
      <alignment horizontal="right" vertical="top" wrapText="1"/>
    </xf>
    <xf numFmtId="4" fontId="6" fillId="0" borderId="2" xfId="0" applyNumberFormat="1" applyFont="1" applyFill="1" applyBorder="1" applyAlignment="1">
      <alignment horizontal="right" vertical="top" wrapText="1"/>
    </xf>
    <xf numFmtId="49" fontId="80" fillId="0" borderId="6" xfId="0" applyNumberFormat="1" applyFont="1" applyFill="1" applyBorder="1" applyAlignment="1">
      <alignment horizontal="center" vertical="top" wrapText="1"/>
    </xf>
    <xf numFmtId="0" fontId="48" fillId="0" borderId="6" xfId="0" applyFont="1" applyFill="1" applyBorder="1" applyAlignment="1">
      <alignment vertical="top" wrapText="1"/>
    </xf>
    <xf numFmtId="4" fontId="48" fillId="0" borderId="1" xfId="0" applyNumberFormat="1" applyFont="1" applyFill="1" applyBorder="1" applyAlignment="1">
      <alignment vertical="top" wrapText="1"/>
    </xf>
    <xf numFmtId="4" fontId="48" fillId="5" borderId="1" xfId="0" applyNumberFormat="1" applyFont="1" applyFill="1" applyBorder="1" applyAlignment="1">
      <alignment vertical="top" wrapText="1"/>
    </xf>
    <xf numFmtId="4" fontId="48" fillId="11" borderId="1" xfId="0" applyNumberFormat="1" applyFont="1" applyFill="1" applyBorder="1" applyAlignment="1">
      <alignment vertical="top" wrapText="1"/>
    </xf>
    <xf numFmtId="0" fontId="70" fillId="0" borderId="0" xfId="0" applyFont="1" applyFill="1" applyAlignment="1">
      <alignment vertical="top"/>
    </xf>
    <xf numFmtId="4" fontId="48" fillId="0" borderId="0" xfId="0" applyNumberFormat="1" applyFont="1" applyFill="1" applyAlignment="1">
      <alignment vertical="top"/>
    </xf>
    <xf numFmtId="49" fontId="82" fillId="0" borderId="6" xfId="0" applyNumberFormat="1" applyFont="1" applyFill="1" applyBorder="1" applyAlignment="1">
      <alignment horizontal="center" vertical="top" wrapText="1"/>
    </xf>
    <xf numFmtId="0" fontId="83" fillId="0" borderId="6" xfId="0" applyFont="1" applyFill="1" applyBorder="1" applyAlignment="1">
      <alignment vertical="top" wrapText="1"/>
    </xf>
    <xf numFmtId="4" fontId="83" fillId="0" borderId="1" xfId="0" applyNumberFormat="1" applyFont="1" applyFill="1" applyBorder="1" applyAlignment="1">
      <alignment vertical="top" wrapText="1"/>
    </xf>
    <xf numFmtId="0" fontId="83" fillId="0" borderId="0" xfId="0" applyFont="1" applyFill="1" applyAlignment="1">
      <alignment vertical="top"/>
    </xf>
    <xf numFmtId="4" fontId="83" fillId="0" borderId="0" xfId="0" applyNumberFormat="1" applyFont="1" applyFill="1" applyAlignment="1">
      <alignment vertical="top"/>
    </xf>
    <xf numFmtId="0" fontId="6" fillId="0" borderId="1" xfId="0" applyFont="1" applyFill="1" applyBorder="1" applyAlignment="1">
      <alignment vertical="top" wrapText="1"/>
    </xf>
    <xf numFmtId="4" fontId="45" fillId="3" borderId="1" xfId="0" applyNumberFormat="1" applyFont="1" applyFill="1" applyBorder="1" applyAlignment="1">
      <alignment vertical="top" wrapText="1"/>
    </xf>
    <xf numFmtId="4" fontId="48" fillId="3" borderId="1" xfId="0" applyNumberFormat="1" applyFont="1" applyFill="1" applyBorder="1" applyAlignment="1">
      <alignment vertical="top" wrapText="1"/>
    </xf>
    <xf numFmtId="4" fontId="51" fillId="3" borderId="1" xfId="0" applyNumberFormat="1" applyFont="1" applyFill="1" applyBorder="1" applyAlignment="1">
      <alignment vertical="top" wrapText="1"/>
    </xf>
    <xf numFmtId="4" fontId="83" fillId="3" borderId="1" xfId="0" applyNumberFormat="1" applyFont="1" applyFill="1" applyBorder="1" applyAlignment="1">
      <alignment vertical="top" wrapText="1"/>
    </xf>
    <xf numFmtId="4" fontId="5" fillId="0" borderId="2" xfId="0" applyNumberFormat="1" applyFont="1" applyBorder="1" applyAlignment="1">
      <alignment horizontal="right" wrapText="1"/>
    </xf>
    <xf numFmtId="4" fontId="5" fillId="17" borderId="1" xfId="0" applyNumberFormat="1" applyFont="1" applyFill="1" applyBorder="1" applyAlignment="1">
      <alignment horizontal="right"/>
    </xf>
    <xf numFmtId="165" fontId="5" fillId="0" borderId="1" xfId="0" applyNumberFormat="1" applyFont="1" applyBorder="1" applyAlignment="1">
      <alignment horizontal="center"/>
    </xf>
    <xf numFmtId="4" fontId="6" fillId="8" borderId="1" xfId="0" applyNumberFormat="1" applyFont="1" applyFill="1" applyBorder="1" applyAlignment="1">
      <alignment horizontal="center" vertical="center"/>
    </xf>
    <xf numFmtId="4" fontId="6" fillId="0" borderId="1" xfId="0" applyNumberFormat="1" applyFont="1" applyBorder="1" applyAlignment="1">
      <alignment horizontal="right" vertical="center" wrapText="1"/>
    </xf>
    <xf numFmtId="166" fontId="6" fillId="0" borderId="6" xfId="0" applyNumberFormat="1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top" wrapText="1"/>
    </xf>
    <xf numFmtId="0" fontId="86" fillId="0" borderId="0" xfId="0" applyFont="1"/>
    <xf numFmtId="49" fontId="6" fillId="0" borderId="3" xfId="0" applyNumberFormat="1" applyFont="1" applyFill="1" applyBorder="1" applyAlignment="1">
      <alignment horizontal="left" vertical="top" wrapText="1"/>
    </xf>
    <xf numFmtId="0" fontId="6" fillId="0" borderId="3" xfId="0" applyFont="1" applyFill="1" applyBorder="1" applyAlignment="1">
      <alignment horizontal="left" vertical="top" wrapText="1"/>
    </xf>
    <xf numFmtId="178" fontId="6" fillId="13" borderId="3" xfId="0" applyNumberFormat="1" applyFont="1" applyFill="1" applyBorder="1" applyAlignment="1" applyProtection="1">
      <alignment horizontal="left" vertical="top" wrapText="1"/>
    </xf>
    <xf numFmtId="0" fontId="6" fillId="0" borderId="3" xfId="0" applyNumberFormat="1" applyFont="1" applyFill="1" applyBorder="1" applyAlignment="1">
      <alignment vertical="top" wrapText="1"/>
    </xf>
    <xf numFmtId="170" fontId="6" fillId="0" borderId="1" xfId="0" applyNumberFormat="1" applyFont="1" applyFill="1" applyBorder="1" applyAlignment="1">
      <alignment vertical="center"/>
    </xf>
    <xf numFmtId="4" fontId="54" fillId="46" borderId="1" xfId="0" applyNumberFormat="1" applyFont="1" applyFill="1" applyBorder="1" applyAlignment="1">
      <alignment vertical="center" wrapText="1"/>
    </xf>
    <xf numFmtId="4" fontId="8" fillId="0" borderId="1" xfId="0" applyNumberFormat="1" applyFont="1" applyFill="1" applyBorder="1" applyAlignment="1">
      <alignment vertical="center" wrapText="1"/>
    </xf>
    <xf numFmtId="4" fontId="6" fillId="0" borderId="3" xfId="0" applyNumberFormat="1" applyFont="1" applyFill="1" applyBorder="1" applyAlignment="1">
      <alignment vertical="center"/>
    </xf>
    <xf numFmtId="4" fontId="6" fillId="18" borderId="1" xfId="0" applyNumberFormat="1" applyFont="1" applyFill="1" applyBorder="1" applyAlignment="1">
      <alignment horizontal="right" vertical="center" wrapText="1"/>
    </xf>
    <xf numFmtId="4" fontId="6" fillId="5" borderId="3" xfId="0" applyNumberFormat="1" applyFont="1" applyFill="1" applyBorder="1" applyAlignment="1">
      <alignment horizontal="right" vertical="center"/>
    </xf>
    <xf numFmtId="4" fontId="45" fillId="5" borderId="1" xfId="0" applyNumberFormat="1" applyFont="1" applyFill="1" applyBorder="1" applyAlignment="1">
      <alignment vertical="top" wrapText="1"/>
    </xf>
    <xf numFmtId="4" fontId="83" fillId="5" borderId="1" xfId="0" applyNumberFormat="1" applyFont="1" applyFill="1" applyBorder="1" applyAlignment="1">
      <alignment vertical="top" wrapText="1"/>
    </xf>
    <xf numFmtId="4" fontId="45" fillId="11" borderId="1" xfId="0" applyNumberFormat="1" applyFont="1" applyFill="1" applyBorder="1" applyAlignment="1">
      <alignment vertical="top" wrapText="1"/>
    </xf>
    <xf numFmtId="4" fontId="83" fillId="11" borderId="1" xfId="0" applyNumberFormat="1" applyFont="1" applyFill="1" applyBorder="1" applyAlignment="1">
      <alignment vertical="top" wrapText="1"/>
    </xf>
    <xf numFmtId="3" fontId="6" fillId="0" borderId="9" xfId="0" applyNumberFormat="1" applyFont="1" applyBorder="1"/>
    <xf numFmtId="49" fontId="6" fillId="47" borderId="1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4" fontId="5" fillId="0" borderId="1" xfId="0" applyNumberFormat="1" applyFont="1" applyBorder="1" applyAlignment="1"/>
    <xf numFmtId="49" fontId="6" fillId="2" borderId="1" xfId="0" applyNumberFormat="1" applyFont="1" applyFill="1" applyBorder="1" applyAlignment="1">
      <alignment horizontal="right" vertical="center" wrapText="1"/>
    </xf>
    <xf numFmtId="182" fontId="6" fillId="0" borderId="1" xfId="0" applyNumberFormat="1" applyFont="1" applyFill="1" applyBorder="1" applyAlignment="1">
      <alignment vertical="center" wrapText="1"/>
    </xf>
    <xf numFmtId="0" fontId="78" fillId="46" borderId="4" xfId="0" applyFont="1" applyFill="1" applyBorder="1" applyAlignment="1">
      <alignment vertical="top" wrapText="1"/>
    </xf>
    <xf numFmtId="0" fontId="78" fillId="46" borderId="9" xfId="0" applyFont="1" applyFill="1" applyBorder="1" applyAlignment="1">
      <alignment vertical="top" wrapText="1"/>
    </xf>
    <xf numFmtId="0" fontId="78" fillId="46" borderId="6" xfId="0" applyFont="1" applyFill="1" applyBorder="1" applyAlignment="1">
      <alignment vertical="top" wrapText="1"/>
    </xf>
    <xf numFmtId="0" fontId="48" fillId="46" borderId="1" xfId="0" applyFont="1" applyFill="1" applyBorder="1" applyAlignment="1">
      <alignment vertical="top"/>
    </xf>
    <xf numFmtId="49" fontId="80" fillId="46" borderId="1" xfId="0" applyNumberFormat="1" applyFont="1" applyFill="1" applyBorder="1" applyAlignment="1">
      <alignment horizontal="center" vertical="top"/>
    </xf>
    <xf numFmtId="0" fontId="59" fillId="46" borderId="1" xfId="0" applyFont="1" applyFill="1" applyBorder="1" applyAlignment="1">
      <alignment vertical="top"/>
    </xf>
    <xf numFmtId="0" fontId="48" fillId="46" borderId="0" xfId="0" applyFont="1" applyFill="1" applyAlignment="1">
      <alignment vertical="top"/>
    </xf>
    <xf numFmtId="4" fontId="51" fillId="0" borderId="9" xfId="0" applyNumberFormat="1" applyFont="1" applyFill="1" applyBorder="1" applyAlignment="1">
      <alignment vertical="top" wrapText="1"/>
    </xf>
    <xf numFmtId="4" fontId="83" fillId="0" borderId="9" xfId="0" applyNumberFormat="1" applyFont="1" applyFill="1" applyBorder="1" applyAlignment="1">
      <alignment vertical="top" wrapText="1"/>
    </xf>
    <xf numFmtId="4" fontId="54" fillId="46" borderId="9" xfId="0" applyNumberFormat="1" applyFont="1" applyFill="1" applyBorder="1" applyAlignment="1">
      <alignment vertical="top" wrapText="1"/>
    </xf>
    <xf numFmtId="165" fontId="57" fillId="46" borderId="9" xfId="0" applyNumberFormat="1" applyFont="1" applyFill="1" applyBorder="1" applyAlignment="1">
      <alignment vertical="top" wrapText="1"/>
    </xf>
    <xf numFmtId="4" fontId="45" fillId="46" borderId="9" xfId="0" applyNumberFormat="1" applyFont="1" applyFill="1" applyBorder="1" applyAlignment="1">
      <alignment vertical="top" wrapText="1"/>
    </xf>
    <xf numFmtId="4" fontId="6" fillId="0" borderId="26" xfId="0" applyNumberFormat="1" applyFont="1" applyFill="1" applyBorder="1" applyAlignment="1">
      <alignment vertical="top" wrapText="1"/>
    </xf>
    <xf numFmtId="4" fontId="26" fillId="0" borderId="26" xfId="0" applyNumberFormat="1" applyFont="1" applyFill="1" applyBorder="1" applyAlignment="1">
      <alignment vertical="top" wrapText="1"/>
    </xf>
    <xf numFmtId="4" fontId="63" fillId="46" borderId="9" xfId="0" applyNumberFormat="1" applyFont="1" applyFill="1" applyBorder="1" applyAlignment="1">
      <alignment vertical="top" wrapText="1"/>
    </xf>
    <xf numFmtId="4" fontId="61" fillId="46" borderId="9" xfId="0" applyNumberFormat="1" applyFont="1" applyFill="1" applyBorder="1" applyAlignment="1">
      <alignment vertical="top"/>
    </xf>
    <xf numFmtId="165" fontId="36" fillId="0" borderId="1" xfId="0" applyNumberFormat="1" applyFont="1" applyFill="1" applyBorder="1" applyAlignment="1">
      <alignment vertical="top"/>
    </xf>
    <xf numFmtId="4" fontId="76" fillId="0" borderId="1" xfId="0" applyNumberFormat="1" applyFont="1" applyFill="1" applyBorder="1" applyAlignment="1">
      <alignment vertical="top" wrapText="1"/>
    </xf>
    <xf numFmtId="183" fontId="6" fillId="0" borderId="0" xfId="0" applyNumberFormat="1" applyFont="1" applyAlignment="1">
      <alignment vertical="top"/>
    </xf>
    <xf numFmtId="4" fontId="5" fillId="0" borderId="4" xfId="0" applyNumberFormat="1" applyFont="1" applyBorder="1" applyAlignment="1">
      <alignment horizontal="center"/>
    </xf>
    <xf numFmtId="0" fontId="6" fillId="8" borderId="0" xfId="0" applyFont="1" applyFill="1" applyBorder="1" applyAlignment="1"/>
    <xf numFmtId="182" fontId="6" fillId="0" borderId="1" xfId="0" quotePrefix="1" applyNumberFormat="1" applyFont="1" applyFill="1" applyBorder="1" applyAlignment="1">
      <alignment vertical="center" wrapText="1"/>
    </xf>
    <xf numFmtId="182" fontId="6" fillId="2" borderId="1" xfId="0" applyNumberFormat="1" applyFont="1" applyFill="1" applyBorder="1" applyAlignment="1">
      <alignment horizontal="right" vertical="center" wrapText="1"/>
    </xf>
    <xf numFmtId="4" fontId="6" fillId="12" borderId="1" xfId="0" applyNumberFormat="1" applyFont="1" applyFill="1" applyBorder="1" applyAlignment="1">
      <alignment vertical="center" wrapText="1"/>
    </xf>
    <xf numFmtId="4" fontId="8" fillId="0" borderId="1" xfId="0" applyNumberFormat="1" applyFont="1" applyFill="1" applyBorder="1" applyAlignment="1">
      <alignment vertical="top"/>
    </xf>
    <xf numFmtId="0" fontId="6" fillId="0" borderId="1" xfId="0" applyNumberFormat="1" applyFont="1" applyFill="1" applyBorder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5" fillId="0" borderId="1" xfId="0" applyFont="1" applyBorder="1"/>
    <xf numFmtId="0" fontId="6" fillId="0" borderId="1" xfId="0" applyFont="1" applyBorder="1"/>
    <xf numFmtId="49" fontId="6" fillId="0" borderId="1" xfId="0" applyNumberFormat="1" applyFont="1" applyBorder="1"/>
    <xf numFmtId="0" fontId="6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0" fontId="7" fillId="0" borderId="1" xfId="0" applyFont="1" applyFill="1" applyBorder="1" applyAlignment="1">
      <alignment vertical="top"/>
    </xf>
    <xf numFmtId="0" fontId="42" fillId="0" borderId="1" xfId="0" applyFont="1" applyFill="1" applyBorder="1" applyAlignment="1">
      <alignment vertical="top"/>
    </xf>
    <xf numFmtId="4" fontId="89" fillId="0" borderId="1" xfId="0" applyNumberFormat="1" applyFont="1" applyFill="1" applyBorder="1" applyAlignment="1">
      <alignment vertical="top"/>
    </xf>
    <xf numFmtId="4" fontId="8" fillId="46" borderId="1" xfId="0" applyNumberFormat="1" applyFont="1" applyFill="1" applyBorder="1" applyAlignment="1">
      <alignment vertical="top"/>
    </xf>
    <xf numFmtId="0" fontId="6" fillId="0" borderId="3" xfId="0" applyNumberFormat="1" applyFont="1" applyFill="1" applyBorder="1" applyAlignment="1">
      <alignment horizontal="center"/>
    </xf>
    <xf numFmtId="0" fontId="6" fillId="0" borderId="1" xfId="0" applyFont="1" applyBorder="1" applyAlignment="1">
      <alignment wrapText="1"/>
    </xf>
    <xf numFmtId="0" fontId="7" fillId="0" borderId="0" xfId="0" applyFont="1" applyAlignment="1">
      <alignment vertical="top"/>
    </xf>
    <xf numFmtId="0" fontId="0" fillId="0" borderId="0" xfId="0" applyAlignment="1">
      <alignment vertical="top"/>
    </xf>
    <xf numFmtId="0" fontId="6" fillId="0" borderId="19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20" xfId="0" applyFont="1" applyBorder="1" applyAlignment="1">
      <alignment horizontal="center" vertical="top" wrapText="1"/>
    </xf>
    <xf numFmtId="0" fontId="11" fillId="0" borderId="4" xfId="0" applyFont="1" applyBorder="1" applyAlignment="1">
      <alignment horizontal="center" vertical="top" wrapText="1"/>
    </xf>
    <xf numFmtId="0" fontId="11" fillId="0" borderId="2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top" wrapText="1"/>
    </xf>
    <xf numFmtId="0" fontId="11" fillId="0" borderId="22" xfId="0" applyFont="1" applyBorder="1" applyAlignment="1">
      <alignment horizontal="center" vertical="top" wrapText="1"/>
    </xf>
    <xf numFmtId="0" fontId="11" fillId="0" borderId="0" xfId="0" applyFont="1" applyAlignment="1">
      <alignment vertical="top" wrapText="1"/>
    </xf>
    <xf numFmtId="0" fontId="7" fillId="0" borderId="9" xfId="0" applyFont="1" applyBorder="1" applyAlignment="1">
      <alignment vertical="top" wrapText="1"/>
    </xf>
    <xf numFmtId="0" fontId="6" fillId="0" borderId="4" xfId="0" applyFont="1" applyFill="1" applyBorder="1" applyAlignment="1">
      <alignment horizontal="left" vertical="top" wrapText="1"/>
    </xf>
    <xf numFmtId="4" fontId="6" fillId="0" borderId="19" xfId="0" applyNumberFormat="1" applyFont="1" applyBorder="1" applyAlignment="1">
      <alignment vertical="top"/>
    </xf>
    <xf numFmtId="4" fontId="6" fillId="0" borderId="20" xfId="0" applyNumberFormat="1" applyFont="1" applyBorder="1" applyAlignment="1">
      <alignment vertical="top"/>
    </xf>
    <xf numFmtId="4" fontId="6" fillId="0" borderId="4" xfId="0" applyNumberFormat="1" applyFont="1" applyBorder="1" applyAlignment="1">
      <alignment vertical="top"/>
    </xf>
    <xf numFmtId="4" fontId="6" fillId="0" borderId="19" xfId="0" applyNumberFormat="1" applyFont="1" applyFill="1" applyBorder="1" applyAlignment="1">
      <alignment vertical="top"/>
    </xf>
    <xf numFmtId="4" fontId="6" fillId="0" borderId="20" xfId="0" applyNumberFormat="1" applyFont="1" applyFill="1" applyBorder="1" applyAlignment="1">
      <alignment vertical="top"/>
    </xf>
    <xf numFmtId="4" fontId="5" fillId="0" borderId="23" xfId="0" applyNumberFormat="1" applyFont="1" applyBorder="1" applyAlignment="1">
      <alignment vertical="top"/>
    </xf>
    <xf numFmtId="4" fontId="5" fillId="0" borderId="24" xfId="0" applyNumberFormat="1" applyFont="1" applyBorder="1" applyAlignment="1">
      <alignment vertical="top"/>
    </xf>
    <xf numFmtId="4" fontId="5" fillId="0" borderId="25" xfId="0" applyNumberFormat="1" applyFont="1" applyBorder="1" applyAlignment="1">
      <alignment vertical="top"/>
    </xf>
    <xf numFmtId="4" fontId="5" fillId="0" borderId="32" xfId="0" applyNumberFormat="1" applyFont="1" applyBorder="1" applyAlignment="1">
      <alignment vertical="top"/>
    </xf>
    <xf numFmtId="4" fontId="5" fillId="0" borderId="9" xfId="0" applyNumberFormat="1" applyFont="1" applyBorder="1" applyAlignment="1">
      <alignment vertical="top"/>
    </xf>
    <xf numFmtId="4" fontId="6" fillId="0" borderId="9" xfId="0" applyNumberFormat="1" applyFont="1" applyFill="1" applyBorder="1" applyAlignment="1">
      <alignment vertical="top"/>
    </xf>
    <xf numFmtId="0" fontId="7" fillId="0" borderId="26" xfId="0" applyFont="1" applyBorder="1" applyAlignment="1">
      <alignment vertical="top" wrapText="1"/>
    </xf>
    <xf numFmtId="0" fontId="7" fillId="0" borderId="30" xfId="0" applyFont="1" applyBorder="1" applyAlignment="1">
      <alignment vertical="top" wrapText="1"/>
    </xf>
    <xf numFmtId="4" fontId="6" fillId="0" borderId="2" xfId="0" applyNumberFormat="1" applyFont="1" applyBorder="1" applyAlignment="1">
      <alignment vertical="top"/>
    </xf>
    <xf numFmtId="2" fontId="6" fillId="0" borderId="2" xfId="0" applyNumberFormat="1" applyFont="1" applyBorder="1" applyAlignment="1">
      <alignment vertical="top"/>
    </xf>
    <xf numFmtId="4" fontId="8" fillId="0" borderId="1" xfId="0" applyNumberFormat="1" applyFont="1" applyFill="1" applyBorder="1" applyAlignment="1">
      <alignment vertical="top"/>
    </xf>
    <xf numFmtId="0" fontId="7" fillId="0" borderId="1" xfId="0" applyFont="1" applyBorder="1" applyAlignment="1">
      <alignment vertical="top" wrapText="1"/>
    </xf>
    <xf numFmtId="0" fontId="6" fillId="48" borderId="4" xfId="0" applyFont="1" applyFill="1" applyBorder="1" applyAlignment="1">
      <alignment vertical="top" wrapText="1"/>
    </xf>
    <xf numFmtId="4" fontId="6" fillId="48" borderId="19" xfId="0" applyNumberFormat="1" applyFont="1" applyFill="1" applyBorder="1" applyAlignment="1">
      <alignment vertical="top"/>
    </xf>
    <xf numFmtId="4" fontId="6" fillId="48" borderId="1" xfId="0" applyNumberFormat="1" applyFont="1" applyFill="1" applyBorder="1" applyAlignment="1">
      <alignment vertical="top"/>
    </xf>
    <xf numFmtId="4" fontId="6" fillId="48" borderId="20" xfId="0" applyNumberFormat="1" applyFont="1" applyFill="1" applyBorder="1" applyAlignment="1">
      <alignment vertical="top"/>
    </xf>
    <xf numFmtId="4" fontId="6" fillId="48" borderId="4" xfId="0" applyNumberFormat="1" applyFont="1" applyFill="1" applyBorder="1" applyAlignment="1">
      <alignment vertical="top"/>
    </xf>
    <xf numFmtId="4" fontId="6" fillId="48" borderId="21" xfId="0" applyNumberFormat="1" applyFont="1" applyFill="1" applyBorder="1" applyAlignment="1">
      <alignment vertical="top"/>
    </xf>
    <xf numFmtId="0" fontId="0" fillId="48" borderId="0" xfId="0" applyFill="1" applyAlignment="1">
      <alignment vertical="top"/>
    </xf>
    <xf numFmtId="4" fontId="6" fillId="48" borderId="27" xfId="0" applyNumberFormat="1" applyFont="1" applyFill="1" applyBorder="1" applyAlignment="1">
      <alignment vertical="top"/>
    </xf>
    <xf numFmtId="4" fontId="6" fillId="48" borderId="28" xfId="0" applyNumberFormat="1" applyFont="1" applyFill="1" applyBorder="1" applyAlignment="1">
      <alignment vertical="top"/>
    </xf>
    <xf numFmtId="4" fontId="6" fillId="48" borderId="29" xfId="0" applyNumberFormat="1" applyFont="1" applyFill="1" applyBorder="1" applyAlignment="1">
      <alignment vertical="top"/>
    </xf>
    <xf numFmtId="49" fontId="6" fillId="6" borderId="16" xfId="0" applyNumberFormat="1" applyFont="1" applyFill="1" applyBorder="1" applyAlignment="1">
      <alignment vertical="top"/>
    </xf>
    <xf numFmtId="49" fontId="6" fillId="0" borderId="16" xfId="0" applyNumberFormat="1" applyFont="1" applyFill="1" applyBorder="1" applyAlignment="1">
      <alignment vertical="top"/>
    </xf>
    <xf numFmtId="4" fontId="6" fillId="5" borderId="1" xfId="0" applyNumberFormat="1" applyFont="1" applyFill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top" wrapText="1"/>
    </xf>
    <xf numFmtId="0" fontId="8" fillId="0" borderId="9" xfId="0" applyFont="1" applyBorder="1" applyAlignment="1">
      <alignment vertical="top" wrapText="1"/>
    </xf>
    <xf numFmtId="0" fontId="8" fillId="0" borderId="1" xfId="0" applyFont="1" applyBorder="1" applyAlignment="1">
      <alignment vertical="top" wrapText="1"/>
    </xf>
    <xf numFmtId="0" fontId="6" fillId="0" borderId="4" xfId="0" applyFont="1" applyFill="1" applyBorder="1" applyAlignment="1">
      <alignment vertical="top" wrapText="1"/>
    </xf>
    <xf numFmtId="0" fontId="8" fillId="0" borderId="1" xfId="0" applyFont="1" applyBorder="1" applyAlignment="1">
      <alignment horizontal="center" vertical="top" wrapText="1"/>
    </xf>
    <xf numFmtId="4" fontId="6" fillId="5" borderId="1" xfId="0" applyNumberFormat="1" applyFont="1" applyFill="1" applyBorder="1" applyAlignment="1">
      <alignment horizontal="center" vertical="center"/>
    </xf>
    <xf numFmtId="4" fontId="54" fillId="46" borderId="1" xfId="0" applyNumberFormat="1" applyFont="1" applyFill="1" applyBorder="1" applyAlignment="1">
      <alignment horizontal="center" vertical="center" wrapText="1"/>
    </xf>
    <xf numFmtId="4" fontId="8" fillId="5" borderId="1" xfId="0" applyNumberFormat="1" applyFont="1" applyFill="1" applyBorder="1" applyAlignment="1">
      <alignment horizontal="center" vertical="center" wrapText="1"/>
    </xf>
    <xf numFmtId="4" fontId="6" fillId="5" borderId="1" xfId="5" applyNumberFormat="1" applyFont="1" applyFill="1" applyBorder="1" applyAlignment="1">
      <alignment horizontal="center" vertical="center"/>
    </xf>
    <xf numFmtId="4" fontId="6" fillId="5" borderId="3" xfId="5" applyNumberFormat="1" applyFont="1" applyFill="1" applyBorder="1" applyAlignment="1">
      <alignment horizontal="center" vertical="center"/>
    </xf>
    <xf numFmtId="4" fontId="6" fillId="17" borderId="19" xfId="0" applyNumberFormat="1" applyFont="1" applyFill="1" applyBorder="1" applyAlignment="1">
      <alignment vertical="center"/>
    </xf>
    <xf numFmtId="4" fontId="5" fillId="0" borderId="0" xfId="0" applyNumberFormat="1" applyFont="1" applyAlignment="1">
      <alignment vertical="top"/>
    </xf>
    <xf numFmtId="4" fontId="6" fillId="48" borderId="1" xfId="0" applyNumberFormat="1" applyFont="1" applyFill="1" applyBorder="1" applyAlignment="1">
      <alignment vertical="center"/>
    </xf>
    <xf numFmtId="4" fontId="8" fillId="0" borderId="1" xfId="0" applyNumberFormat="1" applyFont="1" applyFill="1" applyBorder="1" applyAlignment="1">
      <alignment vertical="top"/>
    </xf>
    <xf numFmtId="0" fontId="6" fillId="0" borderId="1" xfId="0" applyFont="1" applyFill="1" applyBorder="1" applyAlignment="1">
      <alignment vertical="top" wrapText="1"/>
    </xf>
    <xf numFmtId="4" fontId="6" fillId="5" borderId="1" xfId="0" applyNumberFormat="1" applyFont="1" applyFill="1" applyBorder="1" applyAlignment="1"/>
    <xf numFmtId="4" fontId="6" fillId="0" borderId="1" xfId="0" applyNumberFormat="1" applyFont="1" applyBorder="1" applyAlignment="1">
      <alignment vertical="center"/>
    </xf>
    <xf numFmtId="4" fontId="6" fillId="0" borderId="19" xfId="0" applyNumberFormat="1" applyFont="1" applyBorder="1" applyAlignment="1">
      <alignment vertical="center"/>
    </xf>
    <xf numFmtId="4" fontId="6" fillId="0" borderId="19" xfId="0" applyNumberFormat="1" applyFont="1" applyFill="1" applyBorder="1" applyAlignment="1">
      <alignment vertical="center"/>
    </xf>
    <xf numFmtId="4" fontId="6" fillId="0" borderId="9" xfId="0" applyNumberFormat="1" applyFont="1" applyBorder="1" applyAlignment="1">
      <alignment vertical="center" wrapText="1"/>
    </xf>
    <xf numFmtId="4" fontId="6" fillId="0" borderId="1" xfId="0" applyNumberFormat="1" applyFont="1" applyBorder="1" applyAlignment="1">
      <alignment vertical="center" wrapText="1"/>
    </xf>
    <xf numFmtId="4" fontId="6" fillId="0" borderId="0" xfId="0" applyNumberFormat="1" applyFont="1" applyBorder="1"/>
    <xf numFmtId="170" fontId="6" fillId="0" borderId="0" xfId="0" applyNumberFormat="1" applyFont="1" applyFill="1" applyBorder="1" applyAlignment="1">
      <alignment vertical="center" wrapText="1"/>
    </xf>
    <xf numFmtId="4" fontId="6" fillId="0" borderId="2" xfId="0" applyNumberFormat="1" applyFont="1" applyBorder="1" applyAlignment="1"/>
    <xf numFmtId="0" fontId="6" fillId="0" borderId="1" xfId="0" applyFont="1" applyBorder="1" applyAlignment="1">
      <alignment horizontal="center" vertical="center" wrapText="1"/>
    </xf>
    <xf numFmtId="184" fontId="35" fillId="46" borderId="1" xfId="0" applyNumberFormat="1" applyFont="1" applyFill="1" applyBorder="1" applyAlignment="1">
      <alignment horizontal="right" vertical="top"/>
    </xf>
    <xf numFmtId="184" fontId="57" fillId="46" borderId="1" xfId="0" applyNumberFormat="1" applyFont="1" applyFill="1" applyBorder="1" applyAlignment="1">
      <alignment horizontal="right" vertical="top"/>
    </xf>
    <xf numFmtId="0" fontId="5" fillId="49" borderId="1" xfId="0" applyFont="1" applyFill="1" applyBorder="1" applyAlignment="1">
      <alignment horizontal="center" vertical="top" wrapText="1"/>
    </xf>
    <xf numFmtId="4" fontId="59" fillId="46" borderId="1" xfId="0" applyNumberFormat="1" applyFont="1" applyFill="1" applyBorder="1" applyAlignment="1">
      <alignment vertical="top"/>
    </xf>
    <xf numFmtId="0" fontId="91" fillId="0" borderId="0" xfId="26" applyFill="1" applyAlignment="1">
      <alignment vertical="top"/>
    </xf>
    <xf numFmtId="0" fontId="6" fillId="0" borderId="1" xfId="0" applyFont="1" applyFill="1" applyBorder="1" applyAlignment="1">
      <alignment horizontal="center" vertical="top" wrapText="1"/>
    </xf>
    <xf numFmtId="0" fontId="93" fillId="0" borderId="0" xfId="27" applyFont="1" applyBorder="1" applyAlignment="1" applyProtection="1">
      <alignment horizontal="left"/>
    </xf>
    <xf numFmtId="0" fontId="93" fillId="0" borderId="0" xfId="27" applyFont="1" applyBorder="1" applyAlignment="1" applyProtection="1">
      <alignment horizontal="center"/>
    </xf>
    <xf numFmtId="181" fontId="93" fillId="0" borderId="0" xfId="27" applyNumberFormat="1" applyFont="1" applyBorder="1" applyAlignment="1" applyProtection="1">
      <alignment horizontal="center"/>
    </xf>
    <xf numFmtId="0" fontId="84" fillId="0" borderId="0" xfId="27" applyFont="1" applyBorder="1" applyAlignment="1" applyProtection="1"/>
    <xf numFmtId="0" fontId="84" fillId="0" borderId="0" xfId="27" applyFont="1" applyBorder="1" applyAlignment="1" applyProtection="1">
      <alignment horizontal="left" vertical="top" wrapText="1"/>
    </xf>
    <xf numFmtId="0" fontId="92" fillId="0" borderId="0" xfId="27"/>
    <xf numFmtId="0" fontId="84" fillId="0" borderId="0" xfId="27" applyFont="1" applyBorder="1" applyAlignment="1" applyProtection="1">
      <alignment wrapText="1"/>
    </xf>
    <xf numFmtId="49" fontId="85" fillId="0" borderId="1" xfId="27" applyNumberFormat="1" applyFont="1" applyBorder="1" applyAlignment="1" applyProtection="1">
      <alignment horizontal="center" vertical="center" wrapText="1"/>
    </xf>
    <xf numFmtId="49" fontId="23" fillId="0" borderId="34" xfId="27" applyNumberFormat="1" applyFont="1" applyBorder="1" applyAlignment="1" applyProtection="1">
      <alignment horizontal="left" vertical="center" wrapText="1"/>
    </xf>
    <xf numFmtId="49" fontId="23" fillId="0" borderId="34" xfId="27" applyNumberFormat="1" applyFont="1" applyBorder="1" applyAlignment="1" applyProtection="1">
      <alignment horizontal="center" vertical="center" wrapText="1"/>
    </xf>
    <xf numFmtId="4" fontId="23" fillId="0" borderId="34" xfId="27" applyNumberFormat="1" applyFont="1" applyBorder="1" applyAlignment="1" applyProtection="1">
      <alignment horizontal="right" vertical="center" wrapText="1"/>
    </xf>
    <xf numFmtId="49" fontId="87" fillId="0" borderId="35" xfId="27" applyNumberFormat="1" applyFont="1" applyBorder="1" applyAlignment="1" applyProtection="1">
      <alignment horizontal="left"/>
    </xf>
    <xf numFmtId="49" fontId="87" fillId="0" borderId="36" xfId="27" applyNumberFormat="1" applyFont="1" applyBorder="1" applyAlignment="1" applyProtection="1">
      <alignment horizontal="left"/>
    </xf>
    <xf numFmtId="49" fontId="87" fillId="0" borderId="36" xfId="27" applyNumberFormat="1" applyFont="1" applyBorder="1" applyAlignment="1" applyProtection="1">
      <alignment horizontal="center"/>
    </xf>
    <xf numFmtId="4" fontId="87" fillId="0" borderId="36" xfId="27" applyNumberFormat="1" applyFont="1" applyBorder="1" applyAlignment="1" applyProtection="1">
      <alignment horizontal="right"/>
    </xf>
    <xf numFmtId="0" fontId="92" fillId="0" borderId="0" xfId="27" applyFont="1" applyBorder="1" applyAlignment="1" applyProtection="1">
      <alignment horizontal="left" vertical="top" wrapText="1"/>
    </xf>
    <xf numFmtId="4" fontId="6" fillId="48" borderId="37" xfId="0" applyNumberFormat="1" applyFont="1" applyFill="1" applyBorder="1" applyAlignment="1">
      <alignment vertical="top"/>
    </xf>
    <xf numFmtId="4" fontId="6" fillId="0" borderId="6" xfId="0" applyNumberFormat="1" applyFont="1" applyBorder="1" applyAlignment="1">
      <alignment vertical="top"/>
    </xf>
    <xf numFmtId="4" fontId="6" fillId="0" borderId="27" xfId="0" applyNumberFormat="1" applyFont="1" applyBorder="1" applyAlignment="1">
      <alignment vertical="top"/>
    </xf>
    <xf numFmtId="4" fontId="6" fillId="0" borderId="28" xfId="0" applyNumberFormat="1" applyFont="1" applyBorder="1" applyAlignment="1">
      <alignment vertical="top"/>
    </xf>
    <xf numFmtId="4" fontId="6" fillId="0" borderId="29" xfId="0" applyNumberFormat="1" applyFont="1" applyBorder="1" applyAlignment="1">
      <alignment vertical="top"/>
    </xf>
    <xf numFmtId="0" fontId="35" fillId="0" borderId="1" xfId="0" applyFont="1" applyFill="1" applyBorder="1" applyAlignment="1">
      <alignment vertical="top"/>
    </xf>
    <xf numFmtId="0" fontId="41" fillId="0" borderId="1" xfId="0" applyFont="1" applyFill="1" applyBorder="1" applyAlignment="1">
      <alignment vertical="top"/>
    </xf>
    <xf numFmtId="0" fontId="46" fillId="0" borderId="1" xfId="0" applyFont="1" applyFill="1" applyBorder="1" applyAlignment="1">
      <alignment vertical="top"/>
    </xf>
    <xf numFmtId="0" fontId="70" fillId="0" borderId="1" xfId="0" applyFont="1" applyFill="1" applyBorder="1" applyAlignment="1">
      <alignment vertical="top"/>
    </xf>
    <xf numFmtId="0" fontId="83" fillId="0" borderId="1" xfId="0" applyFont="1" applyFill="1" applyBorder="1" applyAlignment="1">
      <alignment vertical="top"/>
    </xf>
    <xf numFmtId="0" fontId="7" fillId="46" borderId="1" xfId="0" applyFont="1" applyFill="1" applyBorder="1" applyAlignment="1">
      <alignment vertical="top"/>
    </xf>
    <xf numFmtId="0" fontId="72" fillId="0" borderId="1" xfId="0" applyFont="1" applyFill="1" applyBorder="1" applyAlignment="1">
      <alignment vertical="top"/>
    </xf>
    <xf numFmtId="0" fontId="35" fillId="46" borderId="1" xfId="0" applyFont="1" applyFill="1" applyBorder="1" applyAlignment="1">
      <alignment vertical="top"/>
    </xf>
    <xf numFmtId="0" fontId="57" fillId="46" borderId="1" xfId="0" applyFont="1" applyFill="1" applyBorder="1" applyAlignment="1">
      <alignment vertical="top"/>
    </xf>
    <xf numFmtId="0" fontId="60" fillId="46" borderId="1" xfId="0" applyFont="1" applyFill="1" applyBorder="1" applyAlignment="1">
      <alignment vertical="top"/>
    </xf>
    <xf numFmtId="0" fontId="76" fillId="46" borderId="1" xfId="0" applyFont="1" applyFill="1" applyBorder="1" applyAlignment="1">
      <alignment vertical="top"/>
    </xf>
    <xf numFmtId="0" fontId="12" fillId="0" borderId="1" xfId="0" applyFont="1" applyBorder="1" applyAlignment="1">
      <alignment vertical="top"/>
    </xf>
    <xf numFmtId="4" fontId="12" fillId="0" borderId="1" xfId="0" applyNumberFormat="1" applyFont="1" applyBorder="1" applyAlignment="1">
      <alignment vertical="top"/>
    </xf>
    <xf numFmtId="0" fontId="72" fillId="0" borderId="1" xfId="0" applyFont="1" applyFill="1" applyBorder="1" applyAlignment="1">
      <alignment vertical="center"/>
    </xf>
    <xf numFmtId="49" fontId="6" fillId="0" borderId="3" xfId="0" applyNumberFormat="1" applyFont="1" applyFill="1" applyBorder="1" applyAlignment="1">
      <alignment vertical="center"/>
    </xf>
    <xf numFmtId="4" fontId="48" fillId="10" borderId="1" xfId="0" applyNumberFormat="1" applyFont="1" applyFill="1" applyBorder="1" applyAlignment="1">
      <alignment vertical="top" wrapText="1"/>
    </xf>
    <xf numFmtId="4" fontId="83" fillId="10" borderId="1" xfId="0" applyNumberFormat="1" applyFont="1" applyFill="1" applyBorder="1" applyAlignment="1">
      <alignment vertical="top" wrapText="1"/>
    </xf>
    <xf numFmtId="4" fontId="6" fillId="5" borderId="1" xfId="0" applyNumberFormat="1" applyFont="1" applyFill="1" applyBorder="1" applyAlignment="1">
      <alignment vertical="center" wrapText="1"/>
    </xf>
    <xf numFmtId="0" fontId="26" fillId="0" borderId="1" xfId="0" applyNumberFormat="1" applyFont="1" applyBorder="1" applyAlignment="1">
      <alignment vertical="top" wrapText="1"/>
    </xf>
    <xf numFmtId="0" fontId="5" fillId="0" borderId="39" xfId="0" applyFont="1" applyFill="1" applyBorder="1" applyAlignment="1">
      <alignment vertical="top" wrapText="1"/>
    </xf>
    <xf numFmtId="3" fontId="6" fillId="0" borderId="0" xfId="0" applyNumberFormat="1" applyFont="1" applyBorder="1" applyAlignment="1">
      <alignment vertical="top"/>
    </xf>
    <xf numFmtId="4" fontId="5" fillId="0" borderId="0" xfId="0" applyNumberFormat="1" applyFont="1" applyBorder="1" applyAlignment="1">
      <alignment vertical="top"/>
    </xf>
    <xf numFmtId="4" fontId="6" fillId="0" borderId="0" xfId="0" applyNumberFormat="1" applyFont="1" applyBorder="1" applyAlignment="1">
      <alignment vertical="top"/>
    </xf>
    <xf numFmtId="4" fontId="5" fillId="0" borderId="26" xfId="0" applyNumberFormat="1" applyFont="1" applyBorder="1" applyAlignment="1">
      <alignment vertical="top"/>
    </xf>
    <xf numFmtId="4" fontId="6" fillId="0" borderId="26" xfId="0" applyNumberFormat="1" applyFont="1" applyFill="1" applyBorder="1" applyAlignment="1">
      <alignment vertical="top"/>
    </xf>
    <xf numFmtId="0" fontId="6" fillId="0" borderId="27" xfId="0" applyFont="1" applyFill="1" applyBorder="1" applyAlignment="1">
      <alignment vertical="top" wrapText="1"/>
    </xf>
    <xf numFmtId="0" fontId="6" fillId="10" borderId="4" xfId="0" applyFont="1" applyFill="1" applyBorder="1" applyAlignment="1">
      <alignment vertical="top" wrapText="1"/>
    </xf>
    <xf numFmtId="4" fontId="6" fillId="10" borderId="19" xfId="0" applyNumberFormat="1" applyFont="1" applyFill="1" applyBorder="1" applyAlignment="1">
      <alignment vertical="center"/>
    </xf>
    <xf numFmtId="4" fontId="6" fillId="10" borderId="1" xfId="0" applyNumberFormat="1" applyFont="1" applyFill="1" applyBorder="1" applyAlignment="1">
      <alignment vertical="center"/>
    </xf>
    <xf numFmtId="4" fontId="6" fillId="10" borderId="21" xfId="0" applyNumberFormat="1" applyFont="1" applyFill="1" applyBorder="1" applyAlignment="1">
      <alignment vertical="center"/>
    </xf>
    <xf numFmtId="4" fontId="6" fillId="10" borderId="6" xfId="0" applyNumberFormat="1" applyFont="1" applyFill="1" applyBorder="1" applyAlignment="1">
      <alignment vertical="center"/>
    </xf>
    <xf numFmtId="4" fontId="6" fillId="17" borderId="29" xfId="0" applyNumberFormat="1" applyFont="1" applyFill="1" applyBorder="1" applyAlignment="1">
      <alignment vertical="center"/>
    </xf>
    <xf numFmtId="4" fontId="6" fillId="17" borderId="27" xfId="0" applyNumberFormat="1" applyFont="1" applyFill="1" applyBorder="1" applyAlignment="1">
      <alignment vertical="center"/>
    </xf>
    <xf numFmtId="4" fontId="6" fillId="17" borderId="28" xfId="0" applyNumberFormat="1" applyFont="1" applyFill="1" applyBorder="1" applyAlignment="1">
      <alignment vertical="center"/>
    </xf>
    <xf numFmtId="0" fontId="6" fillId="0" borderId="5" xfId="0" applyFont="1" applyFill="1" applyBorder="1" applyAlignment="1">
      <alignment horizontal="left" vertical="top" wrapText="1"/>
    </xf>
    <xf numFmtId="4" fontId="6" fillId="0" borderId="38" xfId="0" applyNumberFormat="1" applyFont="1" applyBorder="1" applyAlignment="1">
      <alignment vertical="center"/>
    </xf>
    <xf numFmtId="4" fontId="6" fillId="0" borderId="3" xfId="0" applyNumberFormat="1" applyFont="1" applyBorder="1" applyAlignment="1">
      <alignment vertical="center"/>
    </xf>
    <xf numFmtId="0" fontId="5" fillId="17" borderId="40" xfId="0" applyFont="1" applyFill="1" applyBorder="1" applyAlignment="1">
      <alignment vertical="top" wrapText="1"/>
    </xf>
    <xf numFmtId="4" fontId="5" fillId="17" borderId="27" xfId="0" applyNumberFormat="1" applyFont="1" applyFill="1" applyBorder="1" applyAlignment="1">
      <alignment vertical="top"/>
    </xf>
    <xf numFmtId="4" fontId="5" fillId="17" borderId="29" xfId="0" applyNumberFormat="1" applyFont="1" applyFill="1" applyBorder="1" applyAlignment="1">
      <alignment vertical="top"/>
    </xf>
    <xf numFmtId="0" fontId="5" fillId="0" borderId="8" xfId="0" applyFont="1" applyFill="1" applyBorder="1" applyAlignment="1">
      <alignment vertical="top" wrapText="1"/>
    </xf>
    <xf numFmtId="3" fontId="6" fillId="0" borderId="8" xfId="0" applyNumberFormat="1" applyFont="1" applyBorder="1" applyAlignment="1">
      <alignment vertical="top"/>
    </xf>
    <xf numFmtId="4" fontId="5" fillId="0" borderId="8" xfId="0" applyNumberFormat="1" applyFont="1" applyBorder="1" applyAlignment="1">
      <alignment vertical="top"/>
    </xf>
    <xf numFmtId="4" fontId="6" fillId="0" borderId="8" xfId="0" applyNumberFormat="1" applyFont="1" applyBorder="1" applyAlignment="1">
      <alignment vertical="top"/>
    </xf>
    <xf numFmtId="4" fontId="6" fillId="8" borderId="1" xfId="0" applyNumberFormat="1" applyFont="1" applyFill="1" applyBorder="1" applyAlignment="1">
      <alignment vertical="center" wrapText="1"/>
    </xf>
    <xf numFmtId="4" fontId="6" fillId="11" borderId="4" xfId="0" applyNumberFormat="1" applyFont="1" applyFill="1" applyBorder="1" applyAlignment="1">
      <alignment vertical="center" wrapText="1"/>
    </xf>
    <xf numFmtId="165" fontId="6" fillId="0" borderId="1" xfId="0" applyNumberFormat="1" applyFont="1" applyFill="1" applyBorder="1" applyAlignment="1">
      <alignment vertical="center" wrapText="1"/>
    </xf>
    <xf numFmtId="4" fontId="6" fillId="11" borderId="3" xfId="0" applyNumberFormat="1" applyFont="1" applyFill="1" applyBorder="1" applyAlignment="1">
      <alignment vertical="center" wrapText="1"/>
    </xf>
    <xf numFmtId="4" fontId="6" fillId="10" borderId="1" xfId="0" applyNumberFormat="1" applyFont="1" applyFill="1" applyBorder="1" applyAlignment="1">
      <alignment vertical="center" wrapText="1"/>
    </xf>
    <xf numFmtId="4" fontId="6" fillId="0" borderId="0" xfId="0" applyNumberFormat="1" applyFont="1" applyFill="1" applyBorder="1" applyAlignment="1">
      <alignment vertical="center"/>
    </xf>
    <xf numFmtId="4" fontId="6" fillId="0" borderId="1" xfId="0" applyNumberFormat="1" applyFont="1" applyFill="1" applyBorder="1" applyAlignment="1">
      <alignment horizontal="right" vertical="center" wrapText="1"/>
    </xf>
    <xf numFmtId="4" fontId="6" fillId="5" borderId="1" xfId="0" applyNumberFormat="1" applyFont="1" applyFill="1" applyBorder="1" applyAlignment="1">
      <alignment horizontal="right" vertical="center" wrapText="1"/>
    </xf>
    <xf numFmtId="4" fontId="6" fillId="11" borderId="1" xfId="0" applyNumberFormat="1" applyFont="1" applyFill="1" applyBorder="1" applyAlignment="1">
      <alignment horizontal="right" vertical="center" wrapText="1"/>
    </xf>
    <xf numFmtId="4" fontId="6" fillId="11" borderId="1" xfId="0" applyNumberFormat="1" applyFont="1" applyFill="1" applyBorder="1" applyAlignment="1">
      <alignment horizontal="right" vertical="center"/>
    </xf>
    <xf numFmtId="4" fontId="6" fillId="10" borderId="1" xfId="0" applyNumberFormat="1" applyFont="1" applyFill="1" applyBorder="1" applyAlignment="1">
      <alignment horizontal="right" vertical="center" wrapText="1"/>
    </xf>
    <xf numFmtId="4" fontId="6" fillId="11" borderId="4" xfId="0" applyNumberFormat="1" applyFont="1" applyFill="1" applyBorder="1" applyAlignment="1">
      <alignment horizontal="right" vertical="center" wrapText="1"/>
    </xf>
    <xf numFmtId="165" fontId="6" fillId="0" borderId="1" xfId="0" applyNumberFormat="1" applyFont="1" applyFill="1" applyBorder="1" applyAlignment="1">
      <alignment horizontal="right" vertical="center" wrapText="1"/>
    </xf>
    <xf numFmtId="4" fontId="6" fillId="12" borderId="1" xfId="0" applyNumberFormat="1" applyFont="1" applyFill="1" applyBorder="1" applyAlignment="1">
      <alignment horizontal="right" vertical="center" wrapText="1"/>
    </xf>
    <xf numFmtId="4" fontId="6" fillId="0" borderId="3" xfId="0" applyNumberFormat="1" applyFont="1" applyFill="1" applyBorder="1" applyAlignment="1">
      <alignment horizontal="right" vertical="center"/>
    </xf>
    <xf numFmtId="4" fontId="6" fillId="3" borderId="1" xfId="0" applyNumberFormat="1" applyFont="1" applyFill="1" applyBorder="1" applyAlignment="1">
      <alignment horizontal="right" vertical="center"/>
    </xf>
    <xf numFmtId="4" fontId="26" fillId="0" borderId="1" xfId="0" applyNumberFormat="1" applyFont="1" applyFill="1" applyBorder="1" applyAlignment="1">
      <alignment horizontal="right" vertical="center"/>
    </xf>
    <xf numFmtId="49" fontId="4" fillId="0" borderId="0" xfId="0" applyNumberFormat="1" applyFont="1" applyAlignment="1">
      <alignment vertical="top"/>
    </xf>
    <xf numFmtId="4" fontId="6" fillId="5" borderId="6" xfId="0" applyNumberFormat="1" applyFont="1" applyFill="1" applyBorder="1" applyAlignment="1">
      <alignment vertical="center"/>
    </xf>
    <xf numFmtId="170" fontId="6" fillId="0" borderId="6" xfId="0" applyNumberFormat="1" applyFont="1" applyFill="1" applyBorder="1" applyAlignment="1">
      <alignment vertical="top" wrapText="1"/>
    </xf>
    <xf numFmtId="0" fontId="6" fillId="0" borderId="1" xfId="0" applyFont="1" applyFill="1" applyBorder="1" applyAlignment="1">
      <alignment horizontal="center" vertical="top" wrapText="1"/>
    </xf>
    <xf numFmtId="0" fontId="6" fillId="10" borderId="1" xfId="0" applyFont="1" applyFill="1" applyBorder="1" applyAlignment="1">
      <alignment horizontal="center" vertical="top" wrapText="1"/>
    </xf>
    <xf numFmtId="0" fontId="5" fillId="5" borderId="1" xfId="0" applyFont="1" applyFill="1" applyBorder="1" applyAlignment="1">
      <alignment horizontal="center" vertical="top" wrapText="1"/>
    </xf>
    <xf numFmtId="4" fontId="42" fillId="0" borderId="9" xfId="0" applyNumberFormat="1" applyFont="1" applyFill="1" applyBorder="1" applyAlignment="1">
      <alignment vertical="top" wrapText="1"/>
    </xf>
    <xf numFmtId="4" fontId="45" fillId="0" borderId="9" xfId="0" applyNumberFormat="1" applyFont="1" applyFill="1" applyBorder="1" applyAlignment="1">
      <alignment vertical="top" wrapText="1"/>
    </xf>
    <xf numFmtId="165" fontId="6" fillId="10" borderId="1" xfId="0" applyNumberFormat="1" applyFont="1" applyFill="1" applyBorder="1" applyAlignment="1">
      <alignment horizontal="center" vertical="top" wrapText="1"/>
    </xf>
    <xf numFmtId="2" fontId="6" fillId="10" borderId="1" xfId="0" applyNumberFormat="1" applyFont="1" applyFill="1" applyBorder="1" applyAlignment="1">
      <alignment horizontal="center" vertical="top" wrapText="1"/>
    </xf>
    <xf numFmtId="4" fontId="35" fillId="10" borderId="1" xfId="0" applyNumberFormat="1" applyFont="1" applyFill="1" applyBorder="1" applyAlignment="1">
      <alignment vertical="top" wrapText="1"/>
    </xf>
    <xf numFmtId="4" fontId="41" fillId="10" borderId="1" xfId="0" applyNumberFormat="1" applyFont="1" applyFill="1" applyBorder="1" applyAlignment="1">
      <alignment vertical="top" wrapText="1"/>
    </xf>
    <xf numFmtId="4" fontId="45" fillId="10" borderId="1" xfId="0" applyNumberFormat="1" applyFont="1" applyFill="1" applyBorder="1" applyAlignment="1">
      <alignment vertical="top" wrapText="1"/>
    </xf>
    <xf numFmtId="4" fontId="6" fillId="0" borderId="1" xfId="0" applyNumberFormat="1" applyFont="1" applyFill="1" applyBorder="1" applyAlignment="1">
      <alignment vertical="center"/>
    </xf>
    <xf numFmtId="4" fontId="6" fillId="0" borderId="1" xfId="0" applyNumberFormat="1" applyFont="1" applyFill="1" applyBorder="1" applyAlignment="1">
      <alignment vertical="top"/>
    </xf>
    <xf numFmtId="0" fontId="6" fillId="0" borderId="1" xfId="0" applyFont="1" applyFill="1" applyBorder="1" applyAlignment="1">
      <alignment horizontal="center" vertical="top" wrapText="1"/>
    </xf>
    <xf numFmtId="4" fontId="6" fillId="0" borderId="1" xfId="0" applyNumberFormat="1" applyFont="1" applyFill="1" applyBorder="1" applyAlignment="1">
      <alignment vertical="top"/>
    </xf>
    <xf numFmtId="4" fontId="6" fillId="0" borderId="1" xfId="0" applyNumberFormat="1" applyFont="1" applyFill="1" applyBorder="1" applyAlignment="1">
      <alignment vertical="center"/>
    </xf>
    <xf numFmtId="4" fontId="63" fillId="46" borderId="4" xfId="0" applyNumberFormat="1" applyFont="1" applyFill="1" applyBorder="1" applyAlignment="1">
      <alignment vertical="top" wrapText="1"/>
    </xf>
    <xf numFmtId="4" fontId="48" fillId="46" borderId="9" xfId="0" applyNumberFormat="1" applyFont="1" applyFill="1" applyBorder="1" applyAlignment="1">
      <alignment vertical="top" wrapText="1"/>
    </xf>
    <xf numFmtId="4" fontId="51" fillId="46" borderId="9" xfId="0" applyNumberFormat="1" applyFont="1" applyFill="1" applyBorder="1" applyAlignment="1">
      <alignment vertical="top" wrapText="1"/>
    </xf>
    <xf numFmtId="4" fontId="6" fillId="15" borderId="1" xfId="0" applyNumberFormat="1" applyFont="1" applyFill="1" applyBorder="1" applyAlignment="1">
      <alignment vertical="top" wrapText="1"/>
    </xf>
    <xf numFmtId="4" fontId="6" fillId="0" borderId="1" xfId="0" applyNumberFormat="1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top" wrapText="1"/>
    </xf>
    <xf numFmtId="4" fontId="6" fillId="0" borderId="1" xfId="0" applyNumberFormat="1" applyFont="1" applyFill="1" applyBorder="1" applyAlignment="1">
      <alignment vertical="center"/>
    </xf>
    <xf numFmtId="49" fontId="6" fillId="2" borderId="1" xfId="0" applyNumberFormat="1" applyFont="1" applyFill="1" applyBorder="1" applyAlignment="1">
      <alignment horizontal="right"/>
    </xf>
    <xf numFmtId="49" fontId="6" fillId="0" borderId="1" xfId="0" applyNumberFormat="1" applyFont="1" applyFill="1" applyBorder="1" applyAlignment="1">
      <alignment horizontal="right" wrapText="1"/>
    </xf>
    <xf numFmtId="0" fontId="13" fillId="20" borderId="1" xfId="0" applyFont="1" applyFill="1" applyBorder="1" applyAlignment="1">
      <alignment horizontal="left" vertical="top" wrapText="1"/>
    </xf>
    <xf numFmtId="0" fontId="6" fillId="20" borderId="1" xfId="0" applyFont="1" applyFill="1" applyBorder="1" applyAlignment="1">
      <alignment horizontal="center" vertical="top" wrapText="1"/>
    </xf>
    <xf numFmtId="0" fontId="94" fillId="13" borderId="1" xfId="0" applyFont="1" applyFill="1" applyBorder="1" applyAlignment="1">
      <alignment horizontal="left" vertical="top" wrapText="1"/>
    </xf>
    <xf numFmtId="0" fontId="95" fillId="13" borderId="1" xfId="0" applyFont="1" applyFill="1" applyBorder="1" applyAlignment="1">
      <alignment horizontal="center" vertical="top" wrapText="1"/>
    </xf>
    <xf numFmtId="0" fontId="13" fillId="20" borderId="1" xfId="0" applyFont="1" applyFill="1" applyBorder="1" applyAlignment="1">
      <alignment horizontal="center" vertical="top" wrapText="1"/>
    </xf>
    <xf numFmtId="0" fontId="13" fillId="50" borderId="1" xfId="0" applyFont="1" applyFill="1" applyBorder="1" applyAlignment="1">
      <alignment horizontal="left" vertical="top" wrapText="1"/>
    </xf>
    <xf numFmtId="49" fontId="17" fillId="50" borderId="1" xfId="0" applyNumberFormat="1" applyFont="1" applyFill="1" applyBorder="1" applyAlignment="1">
      <alignment horizontal="center" vertical="top"/>
    </xf>
    <xf numFmtId="4" fontId="6" fillId="0" borderId="1" xfId="0" applyNumberFormat="1" applyFont="1" applyFill="1" applyBorder="1" applyAlignment="1">
      <alignment vertical="center"/>
    </xf>
    <xf numFmtId="4" fontId="6" fillId="0" borderId="1" xfId="0" applyNumberFormat="1" applyFont="1" applyFill="1" applyBorder="1" applyAlignment="1">
      <alignment vertical="top"/>
    </xf>
    <xf numFmtId="4" fontId="6" fillId="12" borderId="2" xfId="0" applyNumberFormat="1" applyFont="1" applyFill="1" applyBorder="1" applyAlignment="1">
      <alignment horizontal="center" vertical="center" wrapText="1"/>
    </xf>
    <xf numFmtId="49" fontId="6" fillId="7" borderId="1" xfId="0" applyNumberFormat="1" applyFont="1" applyFill="1" applyBorder="1" applyAlignment="1">
      <alignment horizontal="center" vertical="top"/>
    </xf>
    <xf numFmtId="0" fontId="6" fillId="7" borderId="1" xfId="0" applyFont="1" applyFill="1" applyBorder="1" applyAlignment="1">
      <alignment horizontal="center" vertical="top"/>
    </xf>
    <xf numFmtId="0" fontId="12" fillId="7" borderId="1" xfId="0" applyFont="1" applyFill="1" applyBorder="1" applyAlignment="1">
      <alignment horizontal="center" vertical="top"/>
    </xf>
    <xf numFmtId="4" fontId="6" fillId="7" borderId="1" xfId="0" applyNumberFormat="1" applyFont="1" applyFill="1" applyBorder="1" applyAlignment="1">
      <alignment vertical="top"/>
    </xf>
    <xf numFmtId="170" fontId="6" fillId="7" borderId="1" xfId="0" applyNumberFormat="1" applyFont="1" applyFill="1" applyBorder="1" applyAlignment="1">
      <alignment vertical="center"/>
    </xf>
    <xf numFmtId="4" fontId="6" fillId="7" borderId="1" xfId="0" applyNumberFormat="1" applyFont="1" applyFill="1" applyBorder="1" applyAlignment="1">
      <alignment vertical="center"/>
    </xf>
    <xf numFmtId="4" fontId="6" fillId="7" borderId="1" xfId="0" applyNumberFormat="1" applyFont="1" applyFill="1" applyBorder="1" applyAlignment="1">
      <alignment horizontal="right" vertical="top"/>
    </xf>
    <xf numFmtId="4" fontId="6" fillId="7" borderId="1" xfId="5" applyNumberFormat="1" applyFont="1" applyFill="1" applyBorder="1" applyAlignment="1">
      <alignment horizontal="center" vertical="center"/>
    </xf>
    <xf numFmtId="4" fontId="6" fillId="7" borderId="0" xfId="0" applyNumberFormat="1" applyFont="1" applyFill="1" applyBorder="1" applyAlignment="1">
      <alignment vertical="top"/>
    </xf>
    <xf numFmtId="0" fontId="6" fillId="7" borderId="0" xfId="0" applyFont="1" applyFill="1" applyBorder="1" applyAlignment="1">
      <alignment vertical="top"/>
    </xf>
    <xf numFmtId="4" fontId="6" fillId="7" borderId="1" xfId="0" applyNumberFormat="1" applyFont="1" applyFill="1" applyBorder="1" applyAlignment="1">
      <alignment vertical="top" wrapText="1"/>
    </xf>
    <xf numFmtId="4" fontId="6" fillId="7" borderId="4" xfId="0" applyNumberFormat="1" applyFont="1" applyFill="1" applyBorder="1" applyAlignment="1">
      <alignment vertical="top" wrapText="1"/>
    </xf>
    <xf numFmtId="4" fontId="8" fillId="7" borderId="0" xfId="0" applyNumberFormat="1" applyFont="1" applyFill="1" applyAlignment="1">
      <alignment vertical="top"/>
    </xf>
    <xf numFmtId="4" fontId="35" fillId="7" borderId="0" xfId="0" applyNumberFormat="1" applyFont="1" applyFill="1" applyAlignment="1">
      <alignment vertical="top"/>
    </xf>
    <xf numFmtId="4" fontId="6" fillId="7" borderId="0" xfId="0" applyNumberFormat="1" applyFont="1" applyFill="1" applyBorder="1" applyAlignment="1">
      <alignment vertical="top" wrapText="1"/>
    </xf>
    <xf numFmtId="4" fontId="6" fillId="0" borderId="1" xfId="0" applyNumberFormat="1" applyFont="1" applyFill="1" applyBorder="1" applyAlignment="1">
      <alignment vertical="center"/>
    </xf>
    <xf numFmtId="0" fontId="6" fillId="9" borderId="8" xfId="0" applyNumberFormat="1" applyFont="1" applyFill="1" applyBorder="1" applyAlignment="1">
      <alignment horizontal="left" vertical="top" wrapText="1"/>
    </xf>
    <xf numFmtId="4" fontId="6" fillId="0" borderId="1" xfId="0" applyNumberFormat="1" applyFont="1" applyFill="1" applyBorder="1" applyAlignment="1">
      <alignment vertical="center"/>
    </xf>
    <xf numFmtId="4" fontId="6" fillId="0" borderId="41" xfId="0" applyNumberFormat="1" applyFont="1" applyBorder="1" applyAlignment="1">
      <alignment vertical="top"/>
    </xf>
    <xf numFmtId="4" fontId="6" fillId="17" borderId="41" xfId="0" applyNumberFormat="1" applyFont="1" applyFill="1" applyBorder="1" applyAlignment="1">
      <alignment vertical="center"/>
    </xf>
    <xf numFmtId="4" fontId="6" fillId="0" borderId="1" xfId="0" applyNumberFormat="1" applyFont="1" applyFill="1" applyBorder="1" applyAlignment="1">
      <alignment vertical="top"/>
    </xf>
    <xf numFmtId="176" fontId="6" fillId="0" borderId="1" xfId="0" applyNumberFormat="1" applyFont="1" applyFill="1" applyBorder="1" applyAlignment="1">
      <alignment vertical="top"/>
    </xf>
    <xf numFmtId="0" fontId="6" fillId="0" borderId="1" xfId="0" applyFont="1" applyFill="1" applyBorder="1" applyAlignment="1">
      <alignment vertical="center"/>
    </xf>
    <xf numFmtId="4" fontId="6" fillId="0" borderId="1" xfId="0" applyNumberFormat="1" applyFont="1" applyFill="1" applyBorder="1" applyAlignment="1">
      <alignment vertical="center"/>
    </xf>
    <xf numFmtId="4" fontId="6" fillId="0" borderId="1" xfId="0" applyNumberFormat="1" applyFont="1" applyFill="1" applyBorder="1" applyAlignment="1">
      <alignment vertical="top"/>
    </xf>
    <xf numFmtId="4" fontId="6" fillId="0" borderId="2" xfId="0" applyNumberFormat="1" applyFont="1" applyFill="1" applyBorder="1" applyAlignment="1"/>
    <xf numFmtId="4" fontId="8" fillId="0" borderId="3" xfId="0" applyNumberFormat="1" applyFont="1" applyFill="1" applyBorder="1" applyAlignment="1">
      <alignment vertical="top"/>
    </xf>
    <xf numFmtId="4" fontId="6" fillId="0" borderId="1" xfId="0" applyNumberFormat="1" applyFont="1" applyFill="1" applyBorder="1" applyAlignment="1">
      <alignment vertical="center"/>
    </xf>
    <xf numFmtId="4" fontId="6" fillId="52" borderId="2" xfId="0" applyNumberFormat="1" applyFont="1" applyFill="1" applyBorder="1" applyAlignment="1">
      <alignment horizontal="right" vertical="top" wrapText="1"/>
    </xf>
    <xf numFmtId="0" fontId="5" fillId="47" borderId="2" xfId="0" applyFont="1" applyFill="1" applyBorder="1" applyAlignment="1">
      <alignment horizontal="center" vertical="top" wrapText="1"/>
    </xf>
    <xf numFmtId="0" fontId="5" fillId="51" borderId="1" xfId="0" applyFont="1" applyFill="1" applyBorder="1" applyAlignment="1">
      <alignment horizontal="center" vertical="top" wrapText="1"/>
    </xf>
    <xf numFmtId="4" fontId="6" fillId="41" borderId="2" xfId="0" applyNumberFormat="1" applyFont="1" applyFill="1" applyBorder="1" applyAlignment="1">
      <alignment horizontal="right" vertical="top" wrapText="1"/>
    </xf>
    <xf numFmtId="0" fontId="5" fillId="0" borderId="2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center" vertical="top" wrapText="1"/>
    </xf>
    <xf numFmtId="0" fontId="6" fillId="0" borderId="3" xfId="0" applyNumberFormat="1" applyFont="1" applyFill="1" applyBorder="1" applyAlignment="1">
      <alignment horizontal="left" vertical="top" wrapText="1"/>
    </xf>
    <xf numFmtId="0" fontId="6" fillId="0" borderId="3" xfId="0" applyFont="1" applyFill="1" applyBorder="1" applyAlignment="1">
      <alignment vertical="top" wrapText="1"/>
    </xf>
    <xf numFmtId="49" fontId="6" fillId="0" borderId="3" xfId="0" applyNumberFormat="1" applyFont="1" applyFill="1" applyBorder="1" applyAlignment="1">
      <alignment horizontal="left" vertical="top" wrapText="1"/>
    </xf>
    <xf numFmtId="0" fontId="6" fillId="0" borderId="3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left" vertical="top"/>
    </xf>
    <xf numFmtId="0" fontId="27" fillId="0" borderId="3" xfId="0" applyFont="1" applyFill="1" applyBorder="1" applyAlignment="1">
      <alignment horizontal="left" vertical="top" wrapText="1"/>
    </xf>
    <xf numFmtId="0" fontId="12" fillId="0" borderId="1" xfId="0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vertical="top" wrapText="1"/>
    </xf>
    <xf numFmtId="4" fontId="90" fillId="0" borderId="0" xfId="25" applyNumberFormat="1" applyFont="1" applyBorder="1" applyAlignment="1" applyProtection="1">
      <alignment horizontal="right" vertical="top" wrapText="1"/>
    </xf>
    <xf numFmtId="0" fontId="96" fillId="13" borderId="1" xfId="0" applyFont="1" applyFill="1" applyBorder="1" applyAlignment="1">
      <alignment horizontal="center" vertical="top" wrapText="1"/>
    </xf>
    <xf numFmtId="165" fontId="95" fillId="13" borderId="1" xfId="0" applyNumberFormat="1" applyFont="1" applyFill="1" applyBorder="1" applyAlignment="1">
      <alignment horizontal="center" vertical="top" wrapText="1"/>
    </xf>
    <xf numFmtId="4" fontId="95" fillId="13" borderId="1" xfId="0" applyNumberFormat="1" applyFont="1" applyFill="1" applyBorder="1" applyAlignment="1">
      <alignment horizontal="right" vertical="top" wrapText="1"/>
    </xf>
    <xf numFmtId="4" fontId="15" fillId="20" borderId="1" xfId="0" applyNumberFormat="1" applyFont="1" applyFill="1" applyBorder="1" applyAlignment="1">
      <alignment horizontal="right" vertical="top" wrapText="1"/>
    </xf>
    <xf numFmtId="4" fontId="15" fillId="47" borderId="1" xfId="0" applyNumberFormat="1" applyFont="1" applyFill="1" applyBorder="1" applyAlignment="1">
      <alignment horizontal="right" vertical="top" wrapText="1"/>
    </xf>
    <xf numFmtId="0" fontId="12" fillId="20" borderId="1" xfId="0" applyFont="1" applyFill="1" applyBorder="1" applyAlignment="1">
      <alignment horizontal="center" vertical="top" wrapText="1"/>
    </xf>
    <xf numFmtId="165" fontId="15" fillId="20" borderId="1" xfId="0" applyNumberFormat="1" applyFont="1" applyFill="1" applyBorder="1" applyAlignment="1">
      <alignment horizontal="right" vertical="top" wrapText="1"/>
    </xf>
    <xf numFmtId="4" fontId="6" fillId="49" borderId="2" xfId="0" applyNumberFormat="1" applyFont="1" applyFill="1" applyBorder="1" applyAlignment="1">
      <alignment horizontal="right" vertical="top" wrapText="1"/>
    </xf>
    <xf numFmtId="165" fontId="6" fillId="0" borderId="1" xfId="0" applyNumberFormat="1" applyFont="1" applyFill="1" applyBorder="1" applyAlignment="1">
      <alignment horizontal="right" vertical="top" wrapText="1"/>
    </xf>
    <xf numFmtId="4" fontId="6" fillId="51" borderId="2" xfId="0" applyNumberFormat="1" applyFont="1" applyFill="1" applyBorder="1" applyAlignment="1">
      <alignment horizontal="right" vertical="top" wrapText="1"/>
    </xf>
    <xf numFmtId="4" fontId="16" fillId="0" borderId="1" xfId="0" applyNumberFormat="1" applyFont="1" applyFill="1" applyBorder="1" applyAlignment="1">
      <alignment horizontal="right" vertical="top" wrapText="1"/>
    </xf>
    <xf numFmtId="4" fontId="15" fillId="50" borderId="1" xfId="0" applyNumberFormat="1" applyFont="1" applyFill="1" applyBorder="1" applyAlignment="1">
      <alignment horizontal="right" vertical="top" wrapText="1"/>
    </xf>
    <xf numFmtId="4" fontId="15" fillId="0" borderId="1" xfId="0" applyNumberFormat="1" applyFont="1" applyFill="1" applyBorder="1" applyAlignment="1">
      <alignment horizontal="right" vertical="top" wrapText="1"/>
    </xf>
    <xf numFmtId="4" fontId="6" fillId="5" borderId="2" xfId="0" applyNumberFormat="1" applyFont="1" applyFill="1" applyBorder="1" applyAlignment="1">
      <alignment horizontal="right" vertical="top" wrapText="1"/>
    </xf>
    <xf numFmtId="4" fontId="15" fillId="8" borderId="1" xfId="0" applyNumberFormat="1" applyFont="1" applyFill="1" applyBorder="1" applyAlignment="1">
      <alignment horizontal="right" vertical="top" wrapText="1"/>
    </xf>
    <xf numFmtId="4" fontId="30" fillId="0" borderId="1" xfId="0" applyNumberFormat="1" applyFont="1" applyFill="1" applyBorder="1" applyAlignment="1">
      <alignment horizontal="right" vertical="top" wrapText="1"/>
    </xf>
    <xf numFmtId="4" fontId="9" fillId="0" borderId="1" xfId="0" applyNumberFormat="1" applyFont="1" applyFill="1" applyBorder="1" applyAlignment="1">
      <alignment horizontal="right" vertical="top" wrapText="1"/>
    </xf>
    <xf numFmtId="0" fontId="7" fillId="0" borderId="0" xfId="0" applyFont="1" applyFill="1" applyAlignment="1">
      <alignment horizontal="center" vertical="top" wrapText="1"/>
    </xf>
    <xf numFmtId="0" fontId="5" fillId="0" borderId="1" xfId="0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center" vertical="top" wrapText="1"/>
    </xf>
    <xf numFmtId="0" fontId="5" fillId="0" borderId="3" xfId="0" applyFont="1" applyFill="1" applyBorder="1" applyAlignment="1">
      <alignment horizontal="center" vertical="top" wrapText="1"/>
    </xf>
    <xf numFmtId="0" fontId="5" fillId="0" borderId="2" xfId="0" applyFont="1" applyFill="1" applyBorder="1" applyAlignment="1">
      <alignment horizontal="center" vertical="top" wrapText="1"/>
    </xf>
    <xf numFmtId="14" fontId="5" fillId="0" borderId="0" xfId="0" applyNumberFormat="1" applyFont="1" applyFill="1" applyAlignment="1">
      <alignment horizontal="center" vertical="top" wrapText="1"/>
    </xf>
    <xf numFmtId="49" fontId="6" fillId="0" borderId="3" xfId="0" applyNumberFormat="1" applyFont="1" applyFill="1" applyBorder="1" applyAlignment="1">
      <alignment horizontal="left" vertical="center" wrapText="1"/>
    </xf>
    <xf numFmtId="49" fontId="6" fillId="0" borderId="2" xfId="0" applyNumberFormat="1" applyFont="1" applyFill="1" applyBorder="1" applyAlignment="1">
      <alignment horizontal="left" vertical="center" wrapText="1"/>
    </xf>
    <xf numFmtId="49" fontId="6" fillId="0" borderId="3" xfId="0" applyNumberFormat="1" applyFont="1" applyFill="1" applyBorder="1" applyAlignment="1">
      <alignment horizontal="left" vertical="center" wrapText="1" indent="2"/>
    </xf>
    <xf numFmtId="49" fontId="6" fillId="0" borderId="2" xfId="0" applyNumberFormat="1" applyFont="1" applyFill="1" applyBorder="1" applyAlignment="1">
      <alignment horizontal="left" vertical="center" wrapText="1" indent="2"/>
    </xf>
    <xf numFmtId="0" fontId="12" fillId="0" borderId="1" xfId="0" applyFont="1" applyFill="1" applyBorder="1" applyAlignment="1">
      <alignment horizontal="center" vertical="top" wrapText="1"/>
    </xf>
    <xf numFmtId="0" fontId="41" fillId="0" borderId="4" xfId="0" applyFont="1" applyFill="1" applyBorder="1" applyAlignment="1">
      <alignment vertical="top" wrapText="1"/>
    </xf>
    <xf numFmtId="0" fontId="41" fillId="0" borderId="9" xfId="0" applyFont="1" applyFill="1" applyBorder="1" applyAlignment="1">
      <alignment vertical="top" wrapText="1"/>
    </xf>
    <xf numFmtId="0" fontId="41" fillId="0" borderId="6" xfId="0" applyFont="1" applyFill="1" applyBorder="1" applyAlignment="1">
      <alignment vertical="top" wrapText="1"/>
    </xf>
    <xf numFmtId="0" fontId="27" fillId="0" borderId="3" xfId="0" applyFont="1" applyFill="1" applyBorder="1" applyAlignment="1">
      <alignment vertical="top" wrapText="1"/>
    </xf>
    <xf numFmtId="0" fontId="27" fillId="0" borderId="2" xfId="0" applyFont="1" applyFill="1" applyBorder="1" applyAlignment="1">
      <alignment vertical="top" wrapText="1"/>
    </xf>
    <xf numFmtId="49" fontId="6" fillId="13" borderId="3" xfId="0" applyNumberFormat="1" applyFont="1" applyFill="1" applyBorder="1" applyAlignment="1">
      <alignment horizontal="left" vertical="center" wrapText="1"/>
    </xf>
    <xf numFmtId="49" fontId="6" fillId="13" borderId="2" xfId="0" applyNumberFormat="1" applyFont="1" applyFill="1" applyBorder="1" applyAlignment="1">
      <alignment horizontal="left" vertical="center" wrapText="1"/>
    </xf>
    <xf numFmtId="0" fontId="43" fillId="0" borderId="4" xfId="0" applyFont="1" applyFill="1" applyBorder="1" applyAlignment="1">
      <alignment vertical="top" wrapText="1"/>
    </xf>
    <xf numFmtId="0" fontId="43" fillId="0" borderId="9" xfId="0" applyFont="1" applyFill="1" applyBorder="1" applyAlignment="1">
      <alignment vertical="top" wrapText="1"/>
    </xf>
    <xf numFmtId="0" fontId="43" fillId="0" borderId="6" xfId="0" applyFont="1" applyFill="1" applyBorder="1" applyAlignment="1">
      <alignment vertical="top" wrapText="1"/>
    </xf>
    <xf numFmtId="0" fontId="49" fillId="0" borderId="4" xfId="0" applyFont="1" applyFill="1" applyBorder="1" applyAlignment="1">
      <alignment vertical="top" wrapText="1"/>
    </xf>
    <xf numFmtId="0" fontId="49" fillId="0" borderId="9" xfId="0" applyFont="1" applyFill="1" applyBorder="1" applyAlignment="1">
      <alignment vertical="top" wrapText="1"/>
    </xf>
    <xf numFmtId="0" fontId="49" fillId="0" borderId="6" xfId="0" applyFont="1" applyFill="1" applyBorder="1" applyAlignment="1">
      <alignment vertical="top" wrapText="1"/>
    </xf>
    <xf numFmtId="178" fontId="6" fillId="8" borderId="3" xfId="0" applyNumberFormat="1" applyFont="1" applyFill="1" applyBorder="1" applyAlignment="1" applyProtection="1">
      <alignment horizontal="left" vertical="center" wrapText="1"/>
    </xf>
    <xf numFmtId="178" fontId="6" fillId="8" borderId="8" xfId="0" applyNumberFormat="1" applyFont="1" applyFill="1" applyBorder="1" applyAlignment="1" applyProtection="1">
      <alignment horizontal="left" vertical="center" wrapText="1"/>
    </xf>
    <xf numFmtId="178" fontId="6" fillId="8" borderId="2" xfId="0" applyNumberFormat="1" applyFont="1" applyFill="1" applyBorder="1" applyAlignment="1" applyProtection="1">
      <alignment horizontal="left" vertical="center" wrapText="1"/>
    </xf>
    <xf numFmtId="4" fontId="6" fillId="0" borderId="3" xfId="0" applyNumberFormat="1" applyFont="1" applyFill="1" applyBorder="1" applyAlignment="1">
      <alignment horizontal="center" vertical="center"/>
    </xf>
    <xf numFmtId="4" fontId="6" fillId="0" borderId="2" xfId="0" applyNumberFormat="1" applyFont="1" applyFill="1" applyBorder="1" applyAlignment="1">
      <alignment horizontal="center" vertical="center"/>
    </xf>
    <xf numFmtId="0" fontId="6" fillId="0" borderId="3" xfId="0" applyNumberFormat="1" applyFont="1" applyFill="1" applyBorder="1" applyAlignment="1">
      <alignment vertical="center" wrapText="1"/>
    </xf>
    <xf numFmtId="0" fontId="6" fillId="0" borderId="8" xfId="0" applyNumberFormat="1" applyFont="1" applyFill="1" applyBorder="1" applyAlignment="1">
      <alignment vertical="center" wrapText="1"/>
    </xf>
    <xf numFmtId="0" fontId="6" fillId="0" borderId="2" xfId="0" applyNumberFormat="1" applyFont="1" applyFill="1" applyBorder="1" applyAlignment="1">
      <alignment vertical="center" wrapText="1"/>
    </xf>
    <xf numFmtId="0" fontId="27" fillId="0" borderId="3" xfId="0" applyFont="1" applyFill="1" applyBorder="1" applyAlignment="1">
      <alignment horizontal="left" vertical="top" wrapText="1"/>
    </xf>
    <xf numFmtId="0" fontId="27" fillId="0" borderId="2" xfId="0" applyFont="1" applyFill="1" applyBorder="1" applyAlignment="1">
      <alignment horizontal="left" vertical="top" wrapText="1"/>
    </xf>
    <xf numFmtId="0" fontId="72" fillId="0" borderId="3" xfId="0" applyNumberFormat="1" applyFont="1" applyFill="1" applyBorder="1" applyAlignment="1">
      <alignment horizontal="left" vertical="center" wrapText="1"/>
    </xf>
    <xf numFmtId="0" fontId="72" fillId="0" borderId="8" xfId="0" applyNumberFormat="1" applyFont="1" applyFill="1" applyBorder="1" applyAlignment="1">
      <alignment horizontal="left" vertical="center" wrapText="1"/>
    </xf>
    <xf numFmtId="4" fontId="6" fillId="0" borderId="1" xfId="0" applyNumberFormat="1" applyFont="1" applyFill="1" applyBorder="1" applyAlignment="1">
      <alignment vertical="center"/>
    </xf>
    <xf numFmtId="4" fontId="6" fillId="0" borderId="8" xfId="0" applyNumberFormat="1" applyFont="1" applyFill="1" applyBorder="1" applyAlignment="1">
      <alignment horizontal="center" vertical="center"/>
    </xf>
    <xf numFmtId="49" fontId="6" fillId="0" borderId="8" xfId="0" applyNumberFormat="1" applyFont="1" applyFill="1" applyBorder="1" applyAlignment="1">
      <alignment horizontal="left" vertical="center" wrapText="1"/>
    </xf>
    <xf numFmtId="4" fontId="6" fillId="0" borderId="3" xfId="0" applyNumberFormat="1" applyFont="1" applyFill="1" applyBorder="1" applyAlignment="1">
      <alignment vertical="center"/>
    </xf>
    <xf numFmtId="4" fontId="6" fillId="0" borderId="8" xfId="0" applyNumberFormat="1" applyFont="1" applyFill="1" applyBorder="1" applyAlignment="1">
      <alignment vertical="center"/>
    </xf>
    <xf numFmtId="4" fontId="6" fillId="0" borderId="2" xfId="0" applyNumberFormat="1" applyFont="1" applyFill="1" applyBorder="1" applyAlignment="1">
      <alignment vertical="center"/>
    </xf>
    <xf numFmtId="0" fontId="72" fillId="0" borderId="2" xfId="0" applyNumberFormat="1" applyFont="1" applyFill="1" applyBorder="1" applyAlignment="1">
      <alignment horizontal="left" vertical="center" wrapText="1"/>
    </xf>
    <xf numFmtId="0" fontId="62" fillId="46" borderId="4" xfId="0" applyFont="1" applyFill="1" applyBorder="1" applyAlignment="1">
      <alignment horizontal="left" vertical="top" wrapText="1"/>
    </xf>
    <xf numFmtId="0" fontId="62" fillId="46" borderId="9" xfId="0" applyFont="1" applyFill="1" applyBorder="1" applyAlignment="1">
      <alignment horizontal="left" vertical="top" wrapText="1"/>
    </xf>
    <xf numFmtId="0" fontId="62" fillId="46" borderId="6" xfId="0" applyFont="1" applyFill="1" applyBorder="1" applyAlignment="1">
      <alignment horizontal="left" vertical="top" wrapText="1"/>
    </xf>
    <xf numFmtId="0" fontId="13" fillId="7" borderId="1" xfId="0" applyFont="1" applyFill="1" applyBorder="1" applyAlignment="1">
      <alignment horizontal="left" vertical="top" wrapText="1"/>
    </xf>
    <xf numFmtId="4" fontId="15" fillId="7" borderId="1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top" wrapText="1"/>
    </xf>
    <xf numFmtId="0" fontId="6" fillId="0" borderId="9" xfId="0" applyFont="1" applyFill="1" applyBorder="1" applyAlignment="1">
      <alignment horizontal="center" vertical="top" wrapText="1"/>
    </xf>
    <xf numFmtId="0" fontId="6" fillId="0" borderId="6" xfId="0" applyFont="1" applyFill="1" applyBorder="1" applyAlignment="1">
      <alignment horizontal="center" vertical="top" wrapText="1"/>
    </xf>
    <xf numFmtId="0" fontId="6" fillId="3" borderId="1" xfId="0" applyFont="1" applyFill="1" applyBorder="1" applyAlignment="1">
      <alignment horizontal="center" vertical="top" wrapText="1"/>
    </xf>
    <xf numFmtId="0" fontId="15" fillId="0" borderId="1" xfId="0" applyFont="1" applyFill="1" applyBorder="1" applyAlignment="1">
      <alignment horizontal="left" vertical="top"/>
    </xf>
    <xf numFmtId="0" fontId="49" fillId="46" borderId="4" xfId="0" applyFont="1" applyFill="1" applyBorder="1" applyAlignment="1">
      <alignment vertical="top" wrapText="1"/>
    </xf>
    <xf numFmtId="0" fontId="49" fillId="46" borderId="9" xfId="0" applyFont="1" applyFill="1" applyBorder="1" applyAlignment="1">
      <alignment vertical="top" wrapText="1"/>
    </xf>
    <xf numFmtId="0" fontId="49" fillId="46" borderId="6" xfId="0" applyFont="1" applyFill="1" applyBorder="1" applyAlignment="1">
      <alignment vertical="top" wrapText="1"/>
    </xf>
    <xf numFmtId="0" fontId="6" fillId="0" borderId="3" xfId="0" applyNumberFormat="1" applyFont="1" applyFill="1" applyBorder="1" applyAlignment="1">
      <alignment horizontal="left" vertical="top" wrapText="1"/>
    </xf>
    <xf numFmtId="0" fontId="6" fillId="0" borderId="8" xfId="0" applyNumberFormat="1" applyFont="1" applyFill="1" applyBorder="1" applyAlignment="1">
      <alignment horizontal="left" vertical="top" wrapText="1"/>
    </xf>
    <xf numFmtId="0" fontId="43" fillId="46" borderId="4" xfId="0" applyFont="1" applyFill="1" applyBorder="1" applyAlignment="1">
      <alignment horizontal="left" vertical="top" wrapText="1"/>
    </xf>
    <xf numFmtId="0" fontId="43" fillId="46" borderId="9" xfId="0" applyFont="1" applyFill="1" applyBorder="1" applyAlignment="1">
      <alignment horizontal="left" vertical="top" wrapText="1"/>
    </xf>
    <xf numFmtId="0" fontId="43" fillId="46" borderId="6" xfId="0" applyFont="1" applyFill="1" applyBorder="1" applyAlignment="1">
      <alignment horizontal="left" vertical="top" wrapText="1"/>
    </xf>
    <xf numFmtId="0" fontId="45" fillId="46" borderId="4" xfId="0" applyFont="1" applyFill="1" applyBorder="1" applyAlignment="1">
      <alignment horizontal="left" vertical="top" wrapText="1"/>
    </xf>
    <xf numFmtId="0" fontId="45" fillId="46" borderId="9" xfId="0" applyFont="1" applyFill="1" applyBorder="1" applyAlignment="1">
      <alignment horizontal="left" vertical="top" wrapText="1"/>
    </xf>
    <xf numFmtId="0" fontId="45" fillId="46" borderId="6" xfId="0" applyFont="1" applyFill="1" applyBorder="1" applyAlignment="1">
      <alignment horizontal="left" vertical="top" wrapText="1"/>
    </xf>
    <xf numFmtId="0" fontId="6" fillId="0" borderId="3" xfId="0" applyFont="1" applyFill="1" applyBorder="1" applyAlignment="1">
      <alignment horizontal="left" vertical="top" wrapText="1"/>
    </xf>
    <xf numFmtId="0" fontId="6" fillId="0" borderId="8" xfId="0" applyFont="1" applyFill="1" applyBorder="1" applyAlignment="1">
      <alignment horizontal="left" vertical="top" wrapText="1"/>
    </xf>
    <xf numFmtId="0" fontId="6" fillId="0" borderId="2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left" vertical="top"/>
    </xf>
    <xf numFmtId="178" fontId="6" fillId="45" borderId="3" xfId="0" applyNumberFormat="1" applyFont="1" applyFill="1" applyBorder="1" applyAlignment="1" applyProtection="1">
      <alignment horizontal="left" vertical="top" wrapText="1"/>
    </xf>
    <xf numFmtId="178" fontId="6" fillId="45" borderId="8" xfId="0" applyNumberFormat="1" applyFont="1" applyFill="1" applyBorder="1" applyAlignment="1" applyProtection="1">
      <alignment horizontal="left" vertical="top" wrapText="1"/>
    </xf>
    <xf numFmtId="178" fontId="6" fillId="45" borderId="2" xfId="0" applyNumberFormat="1" applyFont="1" applyFill="1" applyBorder="1" applyAlignment="1" applyProtection="1">
      <alignment horizontal="left" vertical="top" wrapText="1"/>
    </xf>
    <xf numFmtId="178" fontId="6" fillId="8" borderId="3" xfId="0" applyNumberFormat="1" applyFont="1" applyFill="1" applyBorder="1" applyAlignment="1" applyProtection="1">
      <alignment horizontal="left" vertical="top" wrapText="1"/>
    </xf>
    <xf numFmtId="178" fontId="6" fillId="8" borderId="2" xfId="0" applyNumberFormat="1" applyFont="1" applyFill="1" applyBorder="1" applyAlignment="1" applyProtection="1">
      <alignment horizontal="left" vertical="top" wrapText="1"/>
    </xf>
    <xf numFmtId="0" fontId="5" fillId="0" borderId="1" xfId="0" applyFont="1" applyFill="1" applyBorder="1" applyAlignment="1">
      <alignment horizontal="left" vertical="top"/>
    </xf>
    <xf numFmtId="0" fontId="6" fillId="0" borderId="1" xfId="0" applyNumberFormat="1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vertical="top"/>
    </xf>
    <xf numFmtId="0" fontId="6" fillId="0" borderId="3" xfId="0" applyNumberFormat="1" applyFont="1" applyFill="1" applyBorder="1" applyAlignment="1">
      <alignment vertical="top" wrapText="1"/>
    </xf>
    <xf numFmtId="0" fontId="6" fillId="0" borderId="8" xfId="0" applyNumberFormat="1" applyFont="1" applyFill="1" applyBorder="1" applyAlignment="1">
      <alignment vertical="top" wrapText="1"/>
    </xf>
    <xf numFmtId="0" fontId="6" fillId="0" borderId="2" xfId="0" applyNumberFormat="1" applyFont="1" applyFill="1" applyBorder="1" applyAlignment="1">
      <alignment vertical="top" wrapText="1"/>
    </xf>
    <xf numFmtId="4" fontId="6" fillId="0" borderId="3" xfId="0" applyNumberFormat="1" applyFont="1" applyFill="1" applyBorder="1" applyAlignment="1">
      <alignment horizontal="center" vertical="center" wrapText="1"/>
    </xf>
    <xf numFmtId="4" fontId="6" fillId="0" borderId="8" xfId="0" applyNumberFormat="1" applyFont="1" applyFill="1" applyBorder="1" applyAlignment="1">
      <alignment horizontal="center" vertical="center" wrapText="1"/>
    </xf>
    <xf numFmtId="4" fontId="6" fillId="0" borderId="2" xfId="0" applyNumberFormat="1" applyFont="1" applyFill="1" applyBorder="1" applyAlignment="1">
      <alignment horizontal="center" vertical="center" wrapText="1"/>
    </xf>
    <xf numFmtId="0" fontId="81" fillId="0" borderId="4" xfId="0" applyFont="1" applyFill="1" applyBorder="1" applyAlignment="1">
      <alignment vertical="top" wrapText="1"/>
    </xf>
    <xf numFmtId="0" fontId="81" fillId="0" borderId="9" xfId="0" applyFont="1" applyFill="1" applyBorder="1" applyAlignment="1">
      <alignment vertical="top" wrapText="1"/>
    </xf>
    <xf numFmtId="0" fontId="81" fillId="0" borderId="6" xfId="0" applyFont="1" applyFill="1" applyBorder="1" applyAlignment="1">
      <alignment vertical="top" wrapText="1"/>
    </xf>
    <xf numFmtId="0" fontId="78" fillId="0" borderId="4" xfId="0" applyFont="1" applyFill="1" applyBorder="1" applyAlignment="1">
      <alignment vertical="top" wrapText="1"/>
    </xf>
    <xf numFmtId="0" fontId="78" fillId="0" borderId="9" xfId="0" applyFont="1" applyFill="1" applyBorder="1" applyAlignment="1">
      <alignment vertical="top" wrapText="1"/>
    </xf>
    <xf numFmtId="0" fontId="78" fillId="0" borderId="6" xfId="0" applyFont="1" applyFill="1" applyBorder="1" applyAlignment="1">
      <alignment vertical="top" wrapText="1"/>
    </xf>
    <xf numFmtId="0" fontId="55" fillId="46" borderId="4" xfId="0" applyFont="1" applyFill="1" applyBorder="1" applyAlignment="1">
      <alignment vertical="top" wrapText="1"/>
    </xf>
    <xf numFmtId="0" fontId="55" fillId="46" borderId="9" xfId="0" applyFont="1" applyFill="1" applyBorder="1" applyAlignment="1">
      <alignment vertical="top" wrapText="1"/>
    </xf>
    <xf numFmtId="0" fontId="55" fillId="46" borderId="6" xfId="0" applyFont="1" applyFill="1" applyBorder="1" applyAlignment="1">
      <alignment vertical="top" wrapText="1"/>
    </xf>
    <xf numFmtId="0" fontId="52" fillId="46" borderId="4" xfId="0" applyFont="1" applyFill="1" applyBorder="1" applyAlignment="1">
      <alignment vertical="top" wrapText="1"/>
    </xf>
    <xf numFmtId="0" fontId="52" fillId="46" borderId="9" xfId="0" applyFont="1" applyFill="1" applyBorder="1" applyAlignment="1">
      <alignment vertical="top" wrapText="1"/>
    </xf>
    <xf numFmtId="0" fontId="52" fillId="46" borderId="6" xfId="0" applyFont="1" applyFill="1" applyBorder="1" applyAlignment="1">
      <alignment vertical="top" wrapText="1"/>
    </xf>
    <xf numFmtId="0" fontId="6" fillId="0" borderId="3" xfId="0" applyFont="1" applyFill="1" applyBorder="1" applyAlignment="1">
      <alignment vertical="top" wrapText="1"/>
    </xf>
    <xf numFmtId="0" fontId="6" fillId="0" borderId="8" xfId="0" applyFont="1" applyFill="1" applyBorder="1" applyAlignment="1">
      <alignment vertical="top" wrapText="1"/>
    </xf>
    <xf numFmtId="0" fontId="6" fillId="0" borderId="2" xfId="0" applyFont="1" applyFill="1" applyBorder="1" applyAlignment="1">
      <alignment vertical="top" wrapText="1"/>
    </xf>
    <xf numFmtId="0" fontId="6" fillId="0" borderId="2" xfId="0" applyNumberFormat="1" applyFont="1" applyFill="1" applyBorder="1" applyAlignment="1">
      <alignment horizontal="left" vertical="top" wrapText="1"/>
    </xf>
    <xf numFmtId="0" fontId="47" fillId="46" borderId="4" xfId="0" applyFont="1" applyFill="1" applyBorder="1" applyAlignment="1">
      <alignment vertical="top" wrapText="1"/>
    </xf>
    <xf numFmtId="0" fontId="47" fillId="46" borderId="9" xfId="0" applyFont="1" applyFill="1" applyBorder="1" applyAlignment="1">
      <alignment vertical="top" wrapText="1"/>
    </xf>
    <xf numFmtId="0" fontId="62" fillId="46" borderId="4" xfId="0" applyFont="1" applyFill="1" applyBorder="1" applyAlignment="1">
      <alignment vertical="top" wrapText="1"/>
    </xf>
    <xf numFmtId="0" fontId="62" fillId="46" borderId="9" xfId="0" applyFont="1" applyFill="1" applyBorder="1" applyAlignment="1">
      <alignment vertical="top" wrapText="1"/>
    </xf>
    <xf numFmtId="0" fontId="62" fillId="46" borderId="6" xfId="0" applyFont="1" applyFill="1" applyBorder="1" applyAlignment="1">
      <alignment vertical="top" wrapText="1"/>
    </xf>
    <xf numFmtId="0" fontId="6" fillId="9" borderId="3" xfId="0" applyNumberFormat="1" applyFont="1" applyFill="1" applyBorder="1" applyAlignment="1">
      <alignment horizontal="left" vertical="top" wrapText="1"/>
    </xf>
    <xf numFmtId="0" fontId="6" fillId="9" borderId="2" xfId="0" applyNumberFormat="1" applyFont="1" applyFill="1" applyBorder="1" applyAlignment="1">
      <alignment horizontal="left" vertical="top" wrapText="1"/>
    </xf>
    <xf numFmtId="49" fontId="6" fillId="0" borderId="3" xfId="0" applyNumberFormat="1" applyFont="1" applyFill="1" applyBorder="1" applyAlignment="1">
      <alignment horizontal="left" vertical="top" wrapText="1"/>
    </xf>
    <xf numFmtId="49" fontId="6" fillId="0" borderId="8" xfId="0" applyNumberFormat="1" applyFont="1" applyFill="1" applyBorder="1" applyAlignment="1">
      <alignment horizontal="left" vertical="top" wrapText="1"/>
    </xf>
    <xf numFmtId="49" fontId="6" fillId="0" borderId="2" xfId="0" applyNumberFormat="1" applyFont="1" applyFill="1" applyBorder="1" applyAlignment="1">
      <alignment horizontal="left" vertical="top" wrapText="1"/>
    </xf>
    <xf numFmtId="0" fontId="49" fillId="46" borderId="4" xfId="0" applyFont="1" applyFill="1" applyBorder="1" applyAlignment="1">
      <alignment horizontal="left" vertical="top" wrapText="1"/>
    </xf>
    <xf numFmtId="0" fontId="49" fillId="46" borderId="9" xfId="0" applyFont="1" applyFill="1" applyBorder="1" applyAlignment="1">
      <alignment horizontal="left" vertical="top" wrapText="1"/>
    </xf>
    <xf numFmtId="49" fontId="6" fillId="0" borderId="3" xfId="0" applyNumberFormat="1" applyFont="1" applyFill="1" applyBorder="1" applyAlignment="1">
      <alignment vertical="top" wrapText="1"/>
    </xf>
    <xf numFmtId="49" fontId="6" fillId="0" borderId="2" xfId="0" applyNumberFormat="1" applyFont="1" applyFill="1" applyBorder="1" applyAlignment="1">
      <alignment vertical="top" wrapText="1"/>
    </xf>
    <xf numFmtId="0" fontId="78" fillId="46" borderId="4" xfId="0" applyFont="1" applyFill="1" applyBorder="1" applyAlignment="1">
      <alignment horizontal="left" vertical="top" wrapText="1"/>
    </xf>
    <xf numFmtId="0" fontId="78" fillId="46" borderId="9" xfId="0" applyFont="1" applyFill="1" applyBorder="1" applyAlignment="1">
      <alignment horizontal="left" vertical="top" wrapText="1"/>
    </xf>
    <xf numFmtId="0" fontId="78" fillId="46" borderId="6" xfId="0" applyFont="1" applyFill="1" applyBorder="1" applyAlignment="1">
      <alignment horizontal="left" vertical="top" wrapText="1"/>
    </xf>
    <xf numFmtId="178" fontId="6" fillId="8" borderId="3" xfId="0" applyNumberFormat="1" applyFont="1" applyFill="1" applyBorder="1" applyAlignment="1" applyProtection="1">
      <alignment vertical="top" wrapText="1"/>
    </xf>
    <xf numFmtId="178" fontId="6" fillId="8" borderId="8" xfId="0" applyNumberFormat="1" applyFont="1" applyFill="1" applyBorder="1" applyAlignment="1" applyProtection="1">
      <alignment vertical="top" wrapText="1"/>
    </xf>
    <xf numFmtId="178" fontId="6" fillId="8" borderId="2" xfId="0" applyNumberFormat="1" applyFont="1" applyFill="1" applyBorder="1" applyAlignment="1" applyProtection="1">
      <alignment vertical="top" wrapText="1"/>
    </xf>
    <xf numFmtId="4" fontId="6" fillId="0" borderId="1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72" fillId="0" borderId="1" xfId="0" applyFont="1" applyFill="1" applyBorder="1" applyAlignment="1">
      <alignment horizontal="center" vertical="center"/>
    </xf>
    <xf numFmtId="4" fontId="6" fillId="12" borderId="3" xfId="0" applyNumberFormat="1" applyFont="1" applyFill="1" applyBorder="1" applyAlignment="1">
      <alignment horizontal="center" vertical="center" wrapText="1"/>
    </xf>
    <xf numFmtId="4" fontId="6" fillId="12" borderId="2" xfId="0" applyNumberFormat="1" applyFont="1" applyFill="1" applyBorder="1" applyAlignment="1">
      <alignment horizontal="center" vertical="center" wrapText="1"/>
    </xf>
    <xf numFmtId="4" fontId="6" fillId="0" borderId="3" xfId="0" applyNumberFormat="1" applyFont="1" applyFill="1" applyBorder="1" applyAlignment="1">
      <alignment horizontal="left" vertical="center" wrapText="1"/>
    </xf>
    <xf numFmtId="4" fontId="6" fillId="0" borderId="2" xfId="0" applyNumberFormat="1" applyFont="1" applyFill="1" applyBorder="1" applyAlignment="1">
      <alignment horizontal="left" vertical="center" wrapText="1"/>
    </xf>
    <xf numFmtId="4" fontId="26" fillId="0" borderId="3" xfId="0" applyNumberFormat="1" applyFont="1" applyFill="1" applyBorder="1" applyAlignment="1">
      <alignment horizontal="center" vertical="center"/>
    </xf>
    <xf numFmtId="4" fontId="26" fillId="0" borderId="8" xfId="0" applyNumberFormat="1" applyFont="1" applyFill="1" applyBorder="1" applyAlignment="1">
      <alignment horizontal="center" vertical="center"/>
    </xf>
    <xf numFmtId="4" fontId="26" fillId="0" borderId="2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6" fillId="0" borderId="11" xfId="0" applyFont="1" applyBorder="1" applyAlignment="1"/>
    <xf numFmtId="0" fontId="6" fillId="0" borderId="15" xfId="0" applyFont="1" applyBorder="1" applyAlignment="1"/>
    <xf numFmtId="0" fontId="6" fillId="0" borderId="12" xfId="0" applyFont="1" applyBorder="1" applyAlignment="1">
      <alignment horizontal="center" wrapText="1"/>
    </xf>
    <xf numFmtId="0" fontId="6" fillId="0" borderId="8" xfId="0" applyFont="1" applyBorder="1" applyAlignment="1">
      <alignment horizontal="center" wrapText="1"/>
    </xf>
    <xf numFmtId="0" fontId="6" fillId="0" borderId="12" xfId="0" applyFont="1" applyFill="1" applyBorder="1" applyAlignment="1">
      <alignment horizontal="center" wrapText="1"/>
    </xf>
    <xf numFmtId="0" fontId="6" fillId="0" borderId="8" xfId="0" applyFont="1" applyFill="1" applyBorder="1" applyAlignment="1">
      <alignment horizontal="center" wrapText="1"/>
    </xf>
    <xf numFmtId="0" fontId="6" fillId="0" borderId="13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6" fillId="0" borderId="0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4" xfId="0" applyFont="1" applyBorder="1" applyAlignment="1">
      <alignment horizontal="center" wrapText="1"/>
    </xf>
    <xf numFmtId="0" fontId="5" fillId="0" borderId="9" xfId="0" applyFont="1" applyBorder="1" applyAlignment="1">
      <alignment horizontal="center" wrapText="1"/>
    </xf>
    <xf numFmtId="0" fontId="5" fillId="0" borderId="4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8" borderId="1" xfId="0" applyFont="1" applyFill="1" applyBorder="1" applyAlignment="1">
      <alignment horizontal="center"/>
    </xf>
    <xf numFmtId="0" fontId="5" fillId="8" borderId="4" xfId="0" applyFont="1" applyFill="1" applyBorder="1" applyAlignment="1">
      <alignment horizontal="center"/>
    </xf>
    <xf numFmtId="0" fontId="5" fillId="8" borderId="9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5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top" wrapText="1"/>
    </xf>
    <xf numFmtId="0" fontId="6" fillId="0" borderId="1" xfId="0" applyFont="1" applyBorder="1" applyAlignment="1">
      <alignment horizontal="center" vertical="top"/>
    </xf>
    <xf numFmtId="0" fontId="6" fillId="0" borderId="1" xfId="0" applyFont="1" applyFill="1" applyBorder="1" applyAlignment="1">
      <alignment horizontal="left" vertical="top" wrapText="1"/>
    </xf>
    <xf numFmtId="0" fontId="7" fillId="14" borderId="1" xfId="0" applyFont="1" applyFill="1" applyBorder="1" applyAlignment="1">
      <alignment horizontal="left" vertical="top" wrapText="1"/>
    </xf>
    <xf numFmtId="0" fontId="26" fillId="0" borderId="1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vertical="top" wrapText="1"/>
    </xf>
    <xf numFmtId="0" fontId="7" fillId="7" borderId="1" xfId="0" applyFont="1" applyFill="1" applyBorder="1" applyAlignment="1">
      <alignment horizontal="left" vertical="top" wrapText="1"/>
    </xf>
    <xf numFmtId="0" fontId="7" fillId="0" borderId="5" xfId="0" applyFont="1" applyBorder="1" applyAlignment="1">
      <alignment horizontal="center" vertical="top" wrapText="1"/>
    </xf>
    <xf numFmtId="0" fontId="7" fillId="0" borderId="26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 wrapText="1"/>
    </xf>
    <xf numFmtId="0" fontId="6" fillId="0" borderId="33" xfId="0" applyFont="1" applyBorder="1" applyAlignment="1">
      <alignment horizontal="center" vertical="top" wrapText="1"/>
    </xf>
    <xf numFmtId="0" fontId="6" fillId="0" borderId="13" xfId="0" applyFont="1" applyBorder="1" applyAlignment="1">
      <alignment horizontal="center" vertical="top" wrapText="1"/>
    </xf>
    <xf numFmtId="0" fontId="6" fillId="0" borderId="18" xfId="0" applyFont="1" applyBorder="1" applyAlignment="1">
      <alignment horizontal="center" vertical="top" wrapText="1"/>
    </xf>
    <xf numFmtId="0" fontId="6" fillId="0" borderId="14" xfId="0" applyFont="1" applyBorder="1" applyAlignment="1">
      <alignment horizontal="center" vertical="top" wrapText="1"/>
    </xf>
    <xf numFmtId="0" fontId="6" fillId="0" borderId="31" xfId="0" applyFont="1" applyBorder="1" applyAlignment="1">
      <alignment horizontal="center" vertical="top" wrapText="1"/>
    </xf>
    <xf numFmtId="0" fontId="10" fillId="0" borderId="0" xfId="0" applyFont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9" xfId="0" applyFont="1" applyBorder="1" applyAlignment="1">
      <alignment horizontal="center" vertical="top" wrapText="1"/>
    </xf>
    <xf numFmtId="0" fontId="6" fillId="0" borderId="1" xfId="0" applyNumberFormat="1" applyFont="1" applyFill="1" applyBorder="1" applyAlignment="1">
      <alignment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</cellXfs>
  <cellStyles count="28">
    <cellStyle name="20% - Акцент1" xfId="7"/>
    <cellStyle name="20% - Акцент2" xfId="8"/>
    <cellStyle name="20% - Акцент3" xfId="9"/>
    <cellStyle name="20% - Акцент4" xfId="10"/>
    <cellStyle name="20% - Акцент5" xfId="11"/>
    <cellStyle name="20% - Акцент6" xfId="12"/>
    <cellStyle name="40% - Акцент1" xfId="13"/>
    <cellStyle name="40% - Акцент2" xfId="14"/>
    <cellStyle name="40% - Акцент3" xfId="15"/>
    <cellStyle name="40% - Акцент4" xfId="16"/>
    <cellStyle name="40% - Акцент5" xfId="17"/>
    <cellStyle name="40% - Акцент6" xfId="18"/>
    <cellStyle name="60% - Акцент1" xfId="19"/>
    <cellStyle name="60% - Акцент2" xfId="20"/>
    <cellStyle name="60% - Акцент3" xfId="21"/>
    <cellStyle name="60% - Акцент4" xfId="22"/>
    <cellStyle name="60% - Акцент5" xfId="23"/>
    <cellStyle name="60% - Акцент6" xfId="24"/>
    <cellStyle name="Гиперссылка" xfId="26" builtinId="8"/>
    <cellStyle name="Обычный" xfId="0" builtinId="0"/>
    <cellStyle name="Обычный 2" xfId="1"/>
    <cellStyle name="Обычный 2 2" xfId="2"/>
    <cellStyle name="Обычный 2 4" xfId="6"/>
    <cellStyle name="Обычный_край" xfId="4"/>
    <cellStyle name="Обычный_край_1" xfId="25"/>
    <cellStyle name="Обычный_Лист3" xfId="27"/>
    <cellStyle name="Процентный" xfId="3" builtinId="5"/>
    <cellStyle name="Финансовый 2" xfId="5"/>
  </cellStyles>
  <dxfs count="0"/>
  <tableStyles count="0" defaultTableStyle="TableStyleMedium9" defaultPivotStyle="PivotStyleLight16"/>
  <colors>
    <mruColors>
      <color rgb="FF66FFFF"/>
      <color rgb="FF66CCFF"/>
      <color rgb="FF99FF99"/>
      <color rgb="FFFFCCFF"/>
      <color rgb="FF00FF99"/>
      <color rgb="FFF48670"/>
      <color rgb="FF00CC00"/>
      <color rgb="FF00CC66"/>
      <color rgb="FF99FF33"/>
      <color rgb="FFF66E7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S208"/>
  <sheetViews>
    <sheetView showZeros="0" tabSelected="1" view="pageBreakPreview" topLeftCell="A2" zoomScale="90" zoomScaleNormal="90" zoomScaleSheetLayoutView="90" workbookViewId="0">
      <pane xSplit="7" ySplit="7" topLeftCell="H9" activePane="bottomRight" state="frozen"/>
      <selection activeCell="A2" sqref="A2"/>
      <selection pane="topRight" activeCell="I2" sqref="I2"/>
      <selection pane="bottomLeft" activeCell="A8" sqref="A8"/>
      <selection pane="bottomRight" activeCell="R10" sqref="R10"/>
    </sheetView>
  </sheetViews>
  <sheetFormatPr defaultColWidth="9.140625" defaultRowHeight="15.75" x14ac:dyDescent="0.2"/>
  <cols>
    <col min="1" max="1" width="75.42578125" style="105" customWidth="1"/>
    <col min="2" max="2" width="9.140625" style="434" hidden="1" customWidth="1"/>
    <col min="3" max="3" width="15.28515625" style="105" hidden="1" customWidth="1"/>
    <col min="4" max="4" width="15.42578125" style="105" hidden="1" customWidth="1"/>
    <col min="5" max="5" width="16.85546875" style="101" hidden="1" customWidth="1"/>
    <col min="6" max="6" width="14.5703125" style="101" customWidth="1"/>
    <col min="7" max="7" width="15.42578125" style="101" hidden="1" customWidth="1"/>
    <col min="8" max="8" width="15.5703125" style="101" hidden="1" customWidth="1"/>
    <col min="9" max="13" width="15.28515625" style="105" hidden="1" customWidth="1"/>
    <col min="14" max="14" width="15.7109375" style="105" hidden="1" customWidth="1"/>
    <col min="15" max="15" width="16" style="105" hidden="1" customWidth="1"/>
    <col min="16" max="16" width="15.140625" style="105" customWidth="1"/>
    <col min="17" max="17" width="10.5703125" style="105" customWidth="1"/>
    <col min="18" max="18" width="15.42578125" style="105" customWidth="1"/>
    <col min="19" max="19" width="20.7109375" style="101" customWidth="1"/>
    <col min="20" max="20" width="15.28515625" style="101" customWidth="1"/>
    <col min="21" max="16384" width="9.140625" style="101"/>
  </cols>
  <sheetData>
    <row r="1" spans="1:18" ht="18" customHeight="1" x14ac:dyDescent="0.2">
      <c r="A1" s="1053" t="s">
        <v>55</v>
      </c>
      <c r="B1" s="1053"/>
      <c r="C1" s="1053"/>
      <c r="D1" s="1053"/>
      <c r="E1" s="1053"/>
      <c r="F1" s="1053"/>
      <c r="G1" s="1053"/>
      <c r="H1" s="1053"/>
      <c r="I1" s="1053"/>
      <c r="J1" s="1053"/>
      <c r="K1" s="1053"/>
      <c r="L1" s="1053"/>
      <c r="M1" s="1053"/>
      <c r="N1" s="1053"/>
      <c r="O1" s="1053"/>
      <c r="P1" s="1053"/>
      <c r="Q1" s="1053"/>
      <c r="R1" s="1053"/>
    </row>
    <row r="2" spans="1:18" ht="39" customHeight="1" x14ac:dyDescent="0.2">
      <c r="A2" s="1053" t="s">
        <v>671</v>
      </c>
      <c r="B2" s="1053"/>
      <c r="C2" s="1053"/>
      <c r="D2" s="1053"/>
      <c r="E2" s="1053"/>
      <c r="F2" s="1053"/>
      <c r="G2" s="1053"/>
      <c r="H2" s="1053"/>
      <c r="I2" s="1053"/>
      <c r="J2" s="1053"/>
      <c r="K2" s="1053"/>
      <c r="L2" s="1053"/>
      <c r="M2" s="1053"/>
      <c r="N2" s="1053"/>
      <c r="O2" s="1053"/>
      <c r="P2" s="1053"/>
      <c r="Q2" s="1053"/>
      <c r="R2" s="1053"/>
    </row>
    <row r="3" spans="1:18" x14ac:dyDescent="0.2">
      <c r="A3" s="1058" t="s">
        <v>679</v>
      </c>
      <c r="B3" s="1058"/>
      <c r="C3" s="1058"/>
      <c r="D3" s="1058"/>
      <c r="E3" s="1058"/>
      <c r="F3" s="1058"/>
      <c r="G3" s="1058"/>
      <c r="H3" s="1058"/>
      <c r="I3" s="1058"/>
      <c r="J3" s="1058"/>
      <c r="K3" s="1058"/>
      <c r="L3" s="1058"/>
      <c r="M3" s="1058"/>
      <c r="N3" s="1058"/>
      <c r="O3" s="1058"/>
      <c r="P3" s="1058"/>
      <c r="Q3" s="1058"/>
      <c r="R3" s="1058"/>
    </row>
    <row r="4" spans="1:18" x14ac:dyDescent="0.2">
      <c r="A4" s="98"/>
      <c r="B4" s="98"/>
      <c r="C4" s="98"/>
      <c r="D4" s="103"/>
      <c r="E4" s="104"/>
      <c r="F4" s="104"/>
      <c r="G4" s="104"/>
      <c r="H4" s="104"/>
      <c r="I4" s="104"/>
      <c r="J4" s="104"/>
      <c r="K4" s="104"/>
      <c r="L4" s="104"/>
      <c r="M4" s="104"/>
      <c r="N4" s="104"/>
      <c r="O4" s="104"/>
      <c r="P4" s="1035"/>
      <c r="Q4" s="136"/>
      <c r="R4" s="237"/>
    </row>
    <row r="5" spans="1:18" s="416" customFormat="1" ht="33.75" customHeight="1" x14ac:dyDescent="0.2">
      <c r="A5" s="1055" t="s">
        <v>57</v>
      </c>
      <c r="B5" s="1055" t="s">
        <v>58</v>
      </c>
      <c r="C5" s="1054" t="s">
        <v>456</v>
      </c>
      <c r="D5" s="1054" t="s">
        <v>627</v>
      </c>
      <c r="E5" s="1054" t="s">
        <v>654</v>
      </c>
      <c r="F5" s="1054" t="s">
        <v>686</v>
      </c>
      <c r="G5" s="1054" t="s">
        <v>685</v>
      </c>
      <c r="H5" s="1056"/>
      <c r="I5" s="1056"/>
      <c r="J5" s="1056"/>
      <c r="K5" s="1056"/>
      <c r="L5" s="1056"/>
      <c r="M5" s="1056"/>
      <c r="N5" s="1056"/>
      <c r="O5" s="1054"/>
      <c r="P5" s="1054" t="s">
        <v>59</v>
      </c>
      <c r="Q5" s="1054"/>
      <c r="R5" s="1054" t="s">
        <v>687</v>
      </c>
    </row>
    <row r="6" spans="1:18" s="416" customFormat="1" ht="46.5" customHeight="1" x14ac:dyDescent="0.2">
      <c r="A6" s="1055"/>
      <c r="B6" s="1055"/>
      <c r="C6" s="1054"/>
      <c r="D6" s="1054"/>
      <c r="E6" s="1054"/>
      <c r="F6" s="1054"/>
      <c r="G6" s="1054"/>
      <c r="H6" s="1057"/>
      <c r="I6" s="1057"/>
      <c r="J6" s="1057"/>
      <c r="K6" s="1057"/>
      <c r="L6" s="1057"/>
      <c r="M6" s="1057"/>
      <c r="N6" s="1057"/>
      <c r="O6" s="1054"/>
      <c r="P6" s="417" t="s">
        <v>60</v>
      </c>
      <c r="Q6" s="1024" t="s">
        <v>61</v>
      </c>
      <c r="R6" s="1054"/>
    </row>
    <row r="7" spans="1:18" s="416" customFormat="1" ht="24" customHeight="1" x14ac:dyDescent="0.2">
      <c r="A7" s="1025"/>
      <c r="B7" s="1025"/>
      <c r="C7" s="1024"/>
      <c r="D7" s="868"/>
      <c r="E7" s="959"/>
      <c r="F7" s="1020"/>
      <c r="G7" s="1021"/>
      <c r="H7" s="585"/>
      <c r="I7" s="586"/>
      <c r="J7" s="590"/>
      <c r="K7" s="1019"/>
      <c r="L7" s="712"/>
      <c r="M7" s="1022"/>
      <c r="N7" s="1023"/>
      <c r="O7" s="587"/>
      <c r="P7" s="417"/>
      <c r="Q7" s="1024"/>
      <c r="R7" s="1024"/>
    </row>
    <row r="8" spans="1:18" x14ac:dyDescent="0.2">
      <c r="A8" s="1025">
        <v>1</v>
      </c>
      <c r="B8" s="1025"/>
      <c r="C8" s="1032">
        <v>2</v>
      </c>
      <c r="D8" s="1025"/>
      <c r="E8" s="107"/>
      <c r="F8" s="1025"/>
      <c r="G8" s="1025"/>
      <c r="H8" s="1025"/>
      <c r="I8" s="1025"/>
      <c r="J8" s="1025"/>
      <c r="K8" s="1025"/>
      <c r="L8" s="1025"/>
      <c r="M8" s="1025"/>
      <c r="N8" s="1025"/>
      <c r="O8" s="1025"/>
      <c r="P8" s="108"/>
      <c r="Q8" s="108"/>
      <c r="R8" s="1025"/>
    </row>
    <row r="10" spans="1:18" ht="45" customHeight="1" x14ac:dyDescent="0.2">
      <c r="A10" s="983" t="s">
        <v>673</v>
      </c>
      <c r="B10" s="984"/>
      <c r="C10" s="1036"/>
      <c r="D10" s="1037">
        <f>D12+D15</f>
        <v>9720430.7000000011</v>
      </c>
      <c r="E10" s="1037">
        <f>E12+E15</f>
        <v>9720430.7000000011</v>
      </c>
      <c r="F10" s="1037">
        <v>9876409.160000002</v>
      </c>
      <c r="G10" s="1037">
        <v>9735669.160000002</v>
      </c>
      <c r="H10" s="1037">
        <v>9735669.160000002</v>
      </c>
      <c r="I10" s="1037">
        <v>9735669.160000002</v>
      </c>
      <c r="J10" s="1037">
        <v>9735669.160000002</v>
      </c>
      <c r="K10" s="1037">
        <v>9735669.160000002</v>
      </c>
      <c r="L10" s="1037">
        <v>9735669.160000002</v>
      </c>
      <c r="M10" s="1037">
        <v>9735669.160000002</v>
      </c>
      <c r="N10" s="1037">
        <v>9735669.160000002</v>
      </c>
      <c r="O10" s="1037">
        <v>9720430.7000000011</v>
      </c>
      <c r="P10" s="1037">
        <v>4969701.8458500002</v>
      </c>
      <c r="Q10" s="1038">
        <v>50.887200561362725</v>
      </c>
      <c r="R10" s="1037">
        <v>4765967.31415</v>
      </c>
    </row>
    <row r="11" spans="1:18" ht="63" x14ac:dyDescent="0.2">
      <c r="A11" s="981" t="s">
        <v>672</v>
      </c>
      <c r="B11" s="982"/>
      <c r="C11" s="1039"/>
      <c r="D11" s="1039"/>
      <c r="E11" s="1039"/>
      <c r="F11" s="1040">
        <v>15238.46</v>
      </c>
      <c r="G11" s="1039">
        <v>15238.46</v>
      </c>
      <c r="H11" s="1039">
        <v>15238.46</v>
      </c>
      <c r="I11" s="1039">
        <v>15238.46</v>
      </c>
      <c r="J11" s="1039">
        <v>15238.46</v>
      </c>
      <c r="K11" s="1039">
        <v>15238.46</v>
      </c>
      <c r="L11" s="1039">
        <v>15238.46</v>
      </c>
      <c r="M11" s="1039">
        <v>15238.46</v>
      </c>
      <c r="N11" s="1039">
        <v>15238.46</v>
      </c>
      <c r="O11" s="1039"/>
      <c r="P11" s="1039">
        <v>0</v>
      </c>
      <c r="Q11" s="1039">
        <v>100</v>
      </c>
      <c r="R11" s="1039">
        <v>15238.46</v>
      </c>
    </row>
    <row r="12" spans="1:18" ht="31.5" x14ac:dyDescent="0.2">
      <c r="A12" s="981" t="s">
        <v>665</v>
      </c>
      <c r="B12" s="982"/>
      <c r="C12" s="1041"/>
      <c r="D12" s="1042">
        <f>D13</f>
        <v>250000</v>
      </c>
      <c r="E12" s="1042">
        <f>E13</f>
        <v>250000</v>
      </c>
      <c r="F12" s="1039">
        <v>250000</v>
      </c>
      <c r="G12" s="1039">
        <v>250000</v>
      </c>
      <c r="H12" s="1039">
        <v>250000</v>
      </c>
      <c r="I12" s="1039">
        <v>250000</v>
      </c>
      <c r="J12" s="1039">
        <v>250000</v>
      </c>
      <c r="K12" s="1039">
        <v>250000</v>
      </c>
      <c r="L12" s="1039">
        <v>250000</v>
      </c>
      <c r="M12" s="1039">
        <v>250000</v>
      </c>
      <c r="N12" s="1039">
        <v>250000</v>
      </c>
      <c r="O12" s="1039">
        <v>250000</v>
      </c>
      <c r="P12" s="1039">
        <v>0</v>
      </c>
      <c r="Q12" s="1039">
        <v>0</v>
      </c>
      <c r="R12" s="1039">
        <v>250000</v>
      </c>
    </row>
    <row r="13" spans="1:18" ht="63" x14ac:dyDescent="0.2">
      <c r="A13" s="423" t="s">
        <v>666</v>
      </c>
      <c r="B13" s="1025"/>
      <c r="C13" s="1032"/>
      <c r="D13" s="1043">
        <v>250000</v>
      </c>
      <c r="E13" s="1044">
        <f t="shared" ref="E13" si="0">D13</f>
        <v>250000</v>
      </c>
      <c r="F13" s="713">
        <v>250000</v>
      </c>
      <c r="G13" s="1045">
        <v>250000</v>
      </c>
      <c r="H13" s="713">
        <v>250000</v>
      </c>
      <c r="I13" s="713">
        <v>250000</v>
      </c>
      <c r="J13" s="713">
        <v>250000</v>
      </c>
      <c r="K13" s="713">
        <v>250000</v>
      </c>
      <c r="L13" s="713">
        <v>250000</v>
      </c>
      <c r="M13" s="713">
        <v>250000</v>
      </c>
      <c r="N13" s="713">
        <v>250000</v>
      </c>
      <c r="O13" s="713">
        <v>250000</v>
      </c>
      <c r="P13" s="108">
        <v>0</v>
      </c>
      <c r="Q13" s="108"/>
      <c r="R13" s="573">
        <v>250000</v>
      </c>
    </row>
    <row r="14" spans="1:18" x14ac:dyDescent="0.2">
      <c r="A14" s="423"/>
      <c r="B14" s="1025"/>
      <c r="C14" s="1032"/>
      <c r="D14" s="1025"/>
      <c r="E14" s="107"/>
      <c r="F14" s="1025"/>
      <c r="G14" s="1025"/>
      <c r="H14" s="1025"/>
      <c r="I14" s="1025"/>
      <c r="J14" s="1025"/>
      <c r="K14" s="1025"/>
      <c r="L14" s="1025"/>
      <c r="M14" s="1025"/>
      <c r="N14" s="1025"/>
      <c r="O14" s="1025"/>
      <c r="P14" s="108"/>
      <c r="Q14" s="108"/>
      <c r="R14" s="1025"/>
    </row>
    <row r="15" spans="1:18" s="110" customFormat="1" ht="47.25" x14ac:dyDescent="0.2">
      <c r="A15" s="981" t="s">
        <v>62</v>
      </c>
      <c r="B15" s="985"/>
      <c r="C15" s="1039">
        <f>C16+C17</f>
        <v>8937896.9000000004</v>
      </c>
      <c r="D15" s="1039">
        <f t="shared" ref="D15:E15" si="1">D16+D17</f>
        <v>9470430.7000000011</v>
      </c>
      <c r="E15" s="1039">
        <f t="shared" si="1"/>
        <v>9470430.7000000011</v>
      </c>
      <c r="F15" s="1039">
        <v>9611170.7000000011</v>
      </c>
      <c r="G15" s="1039">
        <v>9470430.7000000011</v>
      </c>
      <c r="H15" s="1039">
        <v>9470430.7000000011</v>
      </c>
      <c r="I15" s="1039">
        <v>9470430.7000000011</v>
      </c>
      <c r="J15" s="1039">
        <v>9470430.7000000011</v>
      </c>
      <c r="K15" s="1039">
        <v>9470430.7000000011</v>
      </c>
      <c r="L15" s="1039">
        <v>9470430.7000000011</v>
      </c>
      <c r="M15" s="1039">
        <v>9470430.7000000011</v>
      </c>
      <c r="N15" s="1039">
        <v>9470430.7000000011</v>
      </c>
      <c r="O15" s="1039">
        <v>9470430.7000000011</v>
      </c>
      <c r="P15" s="1039">
        <v>4969701.8458500002</v>
      </c>
      <c r="Q15" s="1039">
        <v>53.870527045697578</v>
      </c>
      <c r="R15" s="1039">
        <v>4500728.85415</v>
      </c>
    </row>
    <row r="16" spans="1:18" s="111" customFormat="1" x14ac:dyDescent="0.2">
      <c r="A16" s="418" t="s">
        <v>13</v>
      </c>
      <c r="B16" s="419" t="s">
        <v>63</v>
      </c>
      <c r="C16" s="1046">
        <f t="shared" ref="C16:E16" si="2">C22+C71+C94+C98+C115+C127+C136+C146+C169+C163</f>
        <v>7618186.4000000004</v>
      </c>
      <c r="D16" s="1046">
        <f t="shared" si="2"/>
        <v>8359456.2000000011</v>
      </c>
      <c r="E16" s="1046">
        <f t="shared" si="2"/>
        <v>8359456.2000000011</v>
      </c>
      <c r="F16" s="1046">
        <v>8500196.2000000011</v>
      </c>
      <c r="G16" s="1046">
        <v>8359456.2000000011</v>
      </c>
      <c r="H16" s="1046">
        <v>8359456.2000000011</v>
      </c>
      <c r="I16" s="1046">
        <v>8359456.2000000011</v>
      </c>
      <c r="J16" s="1046">
        <v>8359456.2000000011</v>
      </c>
      <c r="K16" s="1046">
        <v>8359456.2000000011</v>
      </c>
      <c r="L16" s="1046">
        <v>8359456.2000000011</v>
      </c>
      <c r="M16" s="1046">
        <v>8359456.2000000011</v>
      </c>
      <c r="N16" s="1046">
        <v>8359456.2000000011</v>
      </c>
      <c r="O16" s="1046">
        <v>8359456.2000000011</v>
      </c>
      <c r="P16" s="1046">
        <v>4033175.7496399996</v>
      </c>
      <c r="Q16" s="1046">
        <v>49.61430220401801</v>
      </c>
      <c r="R16" s="1046">
        <v>4326280.4503600001</v>
      </c>
    </row>
    <row r="17" spans="1:19" s="111" customFormat="1" x14ac:dyDescent="0.2">
      <c r="A17" s="418" t="s">
        <v>15</v>
      </c>
      <c r="B17" s="419" t="s">
        <v>64</v>
      </c>
      <c r="C17" s="1046">
        <f t="shared" ref="C17:E17" si="3">C23+C72+C99+C128+C147</f>
        <v>1319710.5</v>
      </c>
      <c r="D17" s="1046">
        <f t="shared" si="3"/>
        <v>1110974.5</v>
      </c>
      <c r="E17" s="1046">
        <f t="shared" si="3"/>
        <v>1110974.5</v>
      </c>
      <c r="F17" s="1046">
        <v>1110974.5</v>
      </c>
      <c r="G17" s="1046">
        <v>1110974.5</v>
      </c>
      <c r="H17" s="1046">
        <v>1110974.5</v>
      </c>
      <c r="I17" s="1046">
        <v>1110974.5</v>
      </c>
      <c r="J17" s="1046">
        <v>1110974.5</v>
      </c>
      <c r="K17" s="1046">
        <v>1110974.5</v>
      </c>
      <c r="L17" s="1046">
        <v>1110974.5</v>
      </c>
      <c r="M17" s="1046">
        <v>1110974.5</v>
      </c>
      <c r="N17" s="1046">
        <v>1110974.5</v>
      </c>
      <c r="O17" s="1046">
        <v>1110974.5</v>
      </c>
      <c r="P17" s="1046">
        <v>936526.09621000022</v>
      </c>
      <c r="Q17" s="1046">
        <v>85.24776974989075</v>
      </c>
      <c r="R17" s="1046">
        <v>174448.40378999989</v>
      </c>
      <c r="S17" s="112"/>
    </row>
    <row r="18" spans="1:19" s="111" customFormat="1" x14ac:dyDescent="0.2">
      <c r="A18" s="986" t="s">
        <v>65</v>
      </c>
      <c r="B18" s="987"/>
      <c r="C18" s="1047">
        <f>C19+C20</f>
        <v>6890819</v>
      </c>
      <c r="D18" s="1047">
        <f t="shared" ref="D18:E18" si="4">D19+D20</f>
        <v>7341309.8000000007</v>
      </c>
      <c r="E18" s="1047">
        <f t="shared" si="4"/>
        <v>7341309.8000000007</v>
      </c>
      <c r="F18" s="1047">
        <v>7341309.8000000007</v>
      </c>
      <c r="G18" s="1047">
        <v>7341309.8000000007</v>
      </c>
      <c r="H18" s="1047">
        <v>7341309.8000000007</v>
      </c>
      <c r="I18" s="1047">
        <v>7341309.8000000007</v>
      </c>
      <c r="J18" s="1047">
        <v>7341309.8000000007</v>
      </c>
      <c r="K18" s="1047">
        <v>7341309.8000000007</v>
      </c>
      <c r="L18" s="1047">
        <v>7341309.8000000007</v>
      </c>
      <c r="M18" s="1047">
        <v>7341309.8000000007</v>
      </c>
      <c r="N18" s="1047">
        <v>7341309.8000000007</v>
      </c>
      <c r="O18" s="1047">
        <v>7341309.8000000007</v>
      </c>
      <c r="P18" s="1047">
        <v>4049278.7876899997</v>
      </c>
      <c r="Q18" s="1047">
        <v>57.802072123034598</v>
      </c>
      <c r="R18" s="1047">
        <v>3292031.0123100001</v>
      </c>
    </row>
    <row r="19" spans="1:19" s="111" customFormat="1" x14ac:dyDescent="0.2">
      <c r="A19" s="420" t="s">
        <v>13</v>
      </c>
      <c r="B19" s="419"/>
      <c r="C19" s="1046">
        <f t="shared" ref="C19:E19" si="5">C22+C71+C94+C98+C115+C127+C136+C146+C163</f>
        <v>5571108.5</v>
      </c>
      <c r="D19" s="1046">
        <f t="shared" si="5"/>
        <v>6230335.3000000007</v>
      </c>
      <c r="E19" s="1046">
        <f t="shared" si="5"/>
        <v>6230335.3000000007</v>
      </c>
      <c r="F19" s="1046">
        <v>6230335.3000000007</v>
      </c>
      <c r="G19" s="1046">
        <v>6230335.3000000007</v>
      </c>
      <c r="H19" s="1046">
        <v>6230335.3000000007</v>
      </c>
      <c r="I19" s="1046">
        <v>6230335.3000000007</v>
      </c>
      <c r="J19" s="1046">
        <v>6230335.3000000007</v>
      </c>
      <c r="K19" s="1046">
        <v>6230335.3000000007</v>
      </c>
      <c r="L19" s="1046">
        <v>6230335.3000000007</v>
      </c>
      <c r="M19" s="1046">
        <v>6230335.3000000007</v>
      </c>
      <c r="N19" s="1046">
        <v>6230335.3000000007</v>
      </c>
      <c r="O19" s="1046">
        <v>6230335.3000000007</v>
      </c>
      <c r="P19" s="1046">
        <v>3112752.6914799996</v>
      </c>
      <c r="Q19" s="1046">
        <v>52.651777645938388</v>
      </c>
      <c r="R19" s="1046">
        <v>3117582.6085200002</v>
      </c>
    </row>
    <row r="20" spans="1:19" s="111" customFormat="1" x14ac:dyDescent="0.2">
      <c r="A20" s="420" t="s">
        <v>15</v>
      </c>
      <c r="B20" s="419"/>
      <c r="C20" s="1046">
        <f t="shared" ref="C20:E20" si="6">C23+C72+C99+C128+C147</f>
        <v>1319710.5</v>
      </c>
      <c r="D20" s="1046">
        <f t="shared" si="6"/>
        <v>1110974.5</v>
      </c>
      <c r="E20" s="1046">
        <f t="shared" si="6"/>
        <v>1110974.5</v>
      </c>
      <c r="F20" s="1046">
        <v>1110974.5</v>
      </c>
      <c r="G20" s="1046">
        <v>1110974.5</v>
      </c>
      <c r="H20" s="1046">
        <v>1110974.5</v>
      </c>
      <c r="I20" s="1046">
        <v>1110974.5</v>
      </c>
      <c r="J20" s="1046">
        <v>1110974.5</v>
      </c>
      <c r="K20" s="1046">
        <v>1110974.5</v>
      </c>
      <c r="L20" s="1046">
        <v>1110974.5</v>
      </c>
      <c r="M20" s="1046">
        <v>1110974.5</v>
      </c>
      <c r="N20" s="1046">
        <v>1110974.5</v>
      </c>
      <c r="O20" s="1046">
        <v>1110974.5</v>
      </c>
      <c r="P20" s="1046">
        <v>936526.09621000022</v>
      </c>
      <c r="Q20" s="1046">
        <v>85.24776974989075</v>
      </c>
      <c r="R20" s="1046">
        <v>174448.40378999989</v>
      </c>
    </row>
    <row r="21" spans="1:19" s="115" customFormat="1" ht="31.5" x14ac:dyDescent="0.2">
      <c r="A21" s="113" t="s">
        <v>66</v>
      </c>
      <c r="B21" s="421" t="s">
        <v>67</v>
      </c>
      <c r="C21" s="1048">
        <f>C22+C23</f>
        <v>3159977.3</v>
      </c>
      <c r="D21" s="1048">
        <f t="shared" ref="D21:E21" si="7">D22+D23</f>
        <v>3293978.6000000006</v>
      </c>
      <c r="E21" s="1048">
        <f t="shared" si="7"/>
        <v>3293978.6000000006</v>
      </c>
      <c r="F21" s="1048">
        <v>3293978.6000000006</v>
      </c>
      <c r="G21" s="1048">
        <v>3293978.6000000006</v>
      </c>
      <c r="H21" s="1048">
        <v>3293978.6000000006</v>
      </c>
      <c r="I21" s="1048">
        <v>3293978.6000000006</v>
      </c>
      <c r="J21" s="1048">
        <v>3293978.6000000006</v>
      </c>
      <c r="K21" s="1048">
        <v>3293978.6000000006</v>
      </c>
      <c r="L21" s="1048">
        <v>3293978.6000000006</v>
      </c>
      <c r="M21" s="1048">
        <v>3293978.6000000006</v>
      </c>
      <c r="N21" s="1048">
        <v>3293978.6000000006</v>
      </c>
      <c r="O21" s="1048">
        <v>3293978.6000000006</v>
      </c>
      <c r="P21" s="1048">
        <v>1941040.4515300002</v>
      </c>
      <c r="Q21" s="1048">
        <v>59.520213249127295</v>
      </c>
      <c r="R21" s="1048">
        <v>1352938.1484699999</v>
      </c>
    </row>
    <row r="22" spans="1:19" s="117" customFormat="1" x14ac:dyDescent="0.2">
      <c r="A22" s="420" t="s">
        <v>13</v>
      </c>
      <c r="B22" s="422" t="s">
        <v>63</v>
      </c>
      <c r="C22" s="1046">
        <f t="shared" ref="C22:E22" si="8">SUMIF($B$24:$B$69,"=01",C24:C69)</f>
        <v>2084675.0999999999</v>
      </c>
      <c r="D22" s="1046">
        <f t="shared" si="8"/>
        <v>2427412.4000000004</v>
      </c>
      <c r="E22" s="1046">
        <f t="shared" si="8"/>
        <v>2427412.4000000004</v>
      </c>
      <c r="F22" s="1046">
        <v>2427412.4000000004</v>
      </c>
      <c r="G22" s="1046">
        <v>2427412.4000000004</v>
      </c>
      <c r="H22" s="1046">
        <v>2427412.4000000004</v>
      </c>
      <c r="I22" s="1046">
        <v>2427412.4000000004</v>
      </c>
      <c r="J22" s="1046">
        <v>2427412.4000000004</v>
      </c>
      <c r="K22" s="1046">
        <v>2427412.4000000004</v>
      </c>
      <c r="L22" s="1046">
        <v>2427412.4000000004</v>
      </c>
      <c r="M22" s="1046">
        <v>2427412.4000000004</v>
      </c>
      <c r="N22" s="1046">
        <v>2427412.4000000004</v>
      </c>
      <c r="O22" s="1046">
        <v>2427412.4000000004</v>
      </c>
      <c r="P22" s="1046">
        <v>1193899.9400499999</v>
      </c>
      <c r="Q22" s="1046">
        <v>49.519301114608972</v>
      </c>
      <c r="R22" s="1046">
        <v>1233512.45995</v>
      </c>
    </row>
    <row r="23" spans="1:19" s="117" customFormat="1" x14ac:dyDescent="0.2">
      <c r="A23" s="420" t="s">
        <v>15</v>
      </c>
      <c r="B23" s="422" t="s">
        <v>64</v>
      </c>
      <c r="C23" s="1046">
        <f t="shared" ref="C23:E23" si="9">SUMIF($B$24:$B$69,"=02",C24:C69)</f>
        <v>1075302.2</v>
      </c>
      <c r="D23" s="1046">
        <f t="shared" si="9"/>
        <v>866566.2</v>
      </c>
      <c r="E23" s="1046">
        <f t="shared" si="9"/>
        <v>866566.20000000007</v>
      </c>
      <c r="F23" s="1046">
        <v>866566.20000000007</v>
      </c>
      <c r="G23" s="1046">
        <v>866566.20000000007</v>
      </c>
      <c r="H23" s="1046">
        <v>866566.20000000007</v>
      </c>
      <c r="I23" s="1046">
        <v>866566.20000000007</v>
      </c>
      <c r="J23" s="1046">
        <v>866566.20000000007</v>
      </c>
      <c r="K23" s="1046">
        <v>866566.20000000007</v>
      </c>
      <c r="L23" s="1046">
        <v>866566.20000000007</v>
      </c>
      <c r="M23" s="1046">
        <v>866566.20000000007</v>
      </c>
      <c r="N23" s="1046">
        <v>866566.20000000007</v>
      </c>
      <c r="O23" s="1046">
        <v>866566.20000000007</v>
      </c>
      <c r="P23" s="1046">
        <v>747140.51148000022</v>
      </c>
      <c r="Q23" s="1046">
        <v>87.446240298779244</v>
      </c>
      <c r="R23" s="1046">
        <v>119425.68851999994</v>
      </c>
    </row>
    <row r="24" spans="1:19" ht="32.25" customHeight="1" x14ac:dyDescent="0.2">
      <c r="A24" s="423" t="s">
        <v>68</v>
      </c>
      <c r="B24" s="232" t="s">
        <v>63</v>
      </c>
      <c r="C24" s="558">
        <v>38990.1</v>
      </c>
      <c r="D24" s="713">
        <f t="shared" ref="D24:E24" si="10">C24</f>
        <v>38990.1</v>
      </c>
      <c r="E24" s="713">
        <f t="shared" si="10"/>
        <v>38990.1</v>
      </c>
      <c r="F24" s="713">
        <v>38990.1</v>
      </c>
      <c r="G24" s="713">
        <v>38990.1</v>
      </c>
      <c r="H24" s="713">
        <v>38990.1</v>
      </c>
      <c r="I24" s="713">
        <v>38990.1</v>
      </c>
      <c r="J24" s="713">
        <v>38990.1</v>
      </c>
      <c r="K24" s="713">
        <v>38990.1</v>
      </c>
      <c r="L24" s="713">
        <v>38990.1</v>
      </c>
      <c r="M24" s="713">
        <v>38990.1</v>
      </c>
      <c r="N24" s="713">
        <v>38990.1</v>
      </c>
      <c r="O24" s="713">
        <v>38990.1</v>
      </c>
      <c r="P24" s="573">
        <v>0</v>
      </c>
      <c r="Q24" s="573">
        <v>0</v>
      </c>
      <c r="R24" s="573">
        <v>38990.1</v>
      </c>
    </row>
    <row r="25" spans="1:19" ht="31.5" hidden="1" x14ac:dyDescent="0.2">
      <c r="A25" s="423" t="s">
        <v>70</v>
      </c>
      <c r="B25" s="232" t="s">
        <v>63</v>
      </c>
      <c r="C25" s="558">
        <v>340580</v>
      </c>
      <c r="D25" s="1043">
        <f>C25-340580</f>
        <v>0</v>
      </c>
      <c r="E25" s="713">
        <f t="shared" ref="E25" si="11">D25</f>
        <v>0</v>
      </c>
      <c r="F25" s="713">
        <v>0</v>
      </c>
      <c r="G25" s="713">
        <v>0</v>
      </c>
      <c r="H25" s="713">
        <v>0</v>
      </c>
      <c r="I25" s="713">
        <v>0</v>
      </c>
      <c r="J25" s="713">
        <v>0</v>
      </c>
      <c r="K25" s="713">
        <v>0</v>
      </c>
      <c r="L25" s="713">
        <v>0</v>
      </c>
      <c r="M25" s="713">
        <v>0</v>
      </c>
      <c r="N25" s="713">
        <v>0</v>
      </c>
      <c r="O25" s="713">
        <v>0</v>
      </c>
      <c r="P25" s="573">
        <v>0</v>
      </c>
      <c r="Q25" s="573"/>
      <c r="R25" s="573">
        <v>0</v>
      </c>
    </row>
    <row r="26" spans="1:19" ht="47.25" x14ac:dyDescent="0.2">
      <c r="A26" s="423" t="s">
        <v>72</v>
      </c>
      <c r="B26" s="232" t="s">
        <v>63</v>
      </c>
      <c r="C26" s="558">
        <v>171606.8</v>
      </c>
      <c r="D26" s="1043">
        <f>C26+0.1</f>
        <v>171606.9</v>
      </c>
      <c r="E26" s="713">
        <f t="shared" ref="E26" si="12">D26</f>
        <v>171606.9</v>
      </c>
      <c r="F26" s="713">
        <v>171606.9</v>
      </c>
      <c r="G26" s="713">
        <v>171606.9</v>
      </c>
      <c r="H26" s="713">
        <v>171606.9</v>
      </c>
      <c r="I26" s="713">
        <v>171606.9</v>
      </c>
      <c r="J26" s="713">
        <v>171606.9</v>
      </c>
      <c r="K26" s="713">
        <v>171606.9</v>
      </c>
      <c r="L26" s="713">
        <v>171606.9</v>
      </c>
      <c r="M26" s="713">
        <v>171606.9</v>
      </c>
      <c r="N26" s="713">
        <v>171606.9</v>
      </c>
      <c r="O26" s="713">
        <v>171606.9</v>
      </c>
      <c r="P26" s="573">
        <v>157878.06196000002</v>
      </c>
      <c r="Q26" s="573">
        <v>91.999833316725628</v>
      </c>
      <c r="R26" s="573">
        <v>13728.838039999973</v>
      </c>
    </row>
    <row r="27" spans="1:19" ht="31.5" x14ac:dyDescent="0.2">
      <c r="A27" s="423" t="s">
        <v>604</v>
      </c>
      <c r="B27" s="232" t="s">
        <v>63</v>
      </c>
      <c r="C27" s="558"/>
      <c r="D27" s="1043">
        <v>311868</v>
      </c>
      <c r="E27" s="713">
        <f t="shared" ref="E27" si="13">D27</f>
        <v>311868</v>
      </c>
      <c r="F27" s="713">
        <v>311868</v>
      </c>
      <c r="G27" s="713">
        <v>311868</v>
      </c>
      <c r="H27" s="713">
        <v>311868</v>
      </c>
      <c r="I27" s="713">
        <v>311868</v>
      </c>
      <c r="J27" s="713">
        <v>311868</v>
      </c>
      <c r="K27" s="713">
        <v>311868</v>
      </c>
      <c r="L27" s="713">
        <v>311868</v>
      </c>
      <c r="M27" s="713">
        <v>311868</v>
      </c>
      <c r="N27" s="713">
        <v>311868</v>
      </c>
      <c r="O27" s="713">
        <v>311868</v>
      </c>
      <c r="P27" s="573">
        <v>311867.98501999996</v>
      </c>
      <c r="Q27" s="573">
        <v>99.999995196685759</v>
      </c>
      <c r="R27" s="573">
        <v>1.4980000036302954E-2</v>
      </c>
    </row>
    <row r="28" spans="1:19" ht="24.75" customHeight="1" x14ac:dyDescent="0.2">
      <c r="A28" s="123" t="s">
        <v>74</v>
      </c>
      <c r="B28" s="232" t="s">
        <v>63</v>
      </c>
      <c r="C28" s="558">
        <v>69390</v>
      </c>
      <c r="D28" s="713">
        <f t="shared" ref="D28:E28" si="14">C28</f>
        <v>69390</v>
      </c>
      <c r="E28" s="713">
        <f t="shared" si="14"/>
        <v>69390</v>
      </c>
      <c r="F28" s="713">
        <v>69390</v>
      </c>
      <c r="G28" s="713">
        <v>69390</v>
      </c>
      <c r="H28" s="713">
        <v>69390</v>
      </c>
      <c r="I28" s="713">
        <v>69390</v>
      </c>
      <c r="J28" s="713">
        <v>69390</v>
      </c>
      <c r="K28" s="713">
        <v>69390</v>
      </c>
      <c r="L28" s="713">
        <v>69390</v>
      </c>
      <c r="M28" s="713">
        <v>69390</v>
      </c>
      <c r="N28" s="713">
        <v>69390</v>
      </c>
      <c r="O28" s="713">
        <v>69390</v>
      </c>
      <c r="P28" s="573">
        <v>60289.801189999998</v>
      </c>
      <c r="Q28" s="573">
        <v>86.885431892203485</v>
      </c>
      <c r="R28" s="573">
        <v>9100.1988100000017</v>
      </c>
    </row>
    <row r="29" spans="1:19" ht="24.75" customHeight="1" x14ac:dyDescent="0.2">
      <c r="A29" s="122" t="s">
        <v>76</v>
      </c>
      <c r="B29" s="232" t="s">
        <v>63</v>
      </c>
      <c r="C29" s="558">
        <v>555262</v>
      </c>
      <c r="D29" s="1043">
        <f>C29+0.1+274254.9</f>
        <v>829517</v>
      </c>
      <c r="E29" s="713">
        <f t="shared" ref="D29:E30" si="15">D29</f>
        <v>829517</v>
      </c>
      <c r="F29" s="713">
        <v>829517</v>
      </c>
      <c r="G29" s="713">
        <v>829517</v>
      </c>
      <c r="H29" s="713">
        <v>829517</v>
      </c>
      <c r="I29" s="713">
        <v>829517</v>
      </c>
      <c r="J29" s="713">
        <v>829517</v>
      </c>
      <c r="K29" s="713">
        <v>829517</v>
      </c>
      <c r="L29" s="713">
        <v>829517</v>
      </c>
      <c r="M29" s="713">
        <v>829517</v>
      </c>
      <c r="N29" s="713">
        <v>829517</v>
      </c>
      <c r="O29" s="713">
        <v>829517</v>
      </c>
      <c r="P29" s="573">
        <v>0</v>
      </c>
      <c r="Q29" s="573">
        <v>0</v>
      </c>
      <c r="R29" s="573">
        <v>829517</v>
      </c>
    </row>
    <row r="30" spans="1:19" ht="48.75" customHeight="1" x14ac:dyDescent="0.2">
      <c r="A30" s="1028" t="s">
        <v>415</v>
      </c>
      <c r="B30" s="232" t="s">
        <v>63</v>
      </c>
      <c r="C30" s="558">
        <v>21780</v>
      </c>
      <c r="D30" s="713">
        <f t="shared" si="15"/>
        <v>21780</v>
      </c>
      <c r="E30" s="713">
        <f t="shared" si="15"/>
        <v>21780</v>
      </c>
      <c r="F30" s="713">
        <v>21780</v>
      </c>
      <c r="G30" s="713">
        <v>21780</v>
      </c>
      <c r="H30" s="713">
        <v>21780</v>
      </c>
      <c r="I30" s="713">
        <v>21780</v>
      </c>
      <c r="J30" s="713">
        <v>21780</v>
      </c>
      <c r="K30" s="713">
        <v>21780</v>
      </c>
      <c r="L30" s="713">
        <v>21780</v>
      </c>
      <c r="M30" s="713">
        <v>21780</v>
      </c>
      <c r="N30" s="713">
        <v>21780</v>
      </c>
      <c r="O30" s="713">
        <v>21780</v>
      </c>
      <c r="P30" s="573"/>
      <c r="Q30" s="573"/>
      <c r="R30" s="573">
        <v>21780</v>
      </c>
    </row>
    <row r="31" spans="1:19" ht="47.25" x14ac:dyDescent="0.2">
      <c r="A31" s="122" t="s">
        <v>78</v>
      </c>
      <c r="B31" s="232" t="s">
        <v>63</v>
      </c>
      <c r="C31" s="558">
        <v>63429.4</v>
      </c>
      <c r="D31" s="713">
        <f t="shared" ref="D31:E31" si="16">C31</f>
        <v>63429.4</v>
      </c>
      <c r="E31" s="713">
        <f t="shared" si="16"/>
        <v>63429.4</v>
      </c>
      <c r="F31" s="713">
        <v>63429.4</v>
      </c>
      <c r="G31" s="713">
        <v>63429.4</v>
      </c>
      <c r="H31" s="713">
        <v>63429.4</v>
      </c>
      <c r="I31" s="713">
        <v>63429.4</v>
      </c>
      <c r="J31" s="713">
        <v>63429.4</v>
      </c>
      <c r="K31" s="713">
        <v>63429.4</v>
      </c>
      <c r="L31" s="713">
        <v>63429.4</v>
      </c>
      <c r="M31" s="713">
        <v>63429.4</v>
      </c>
      <c r="N31" s="713">
        <v>63429.4</v>
      </c>
      <c r="O31" s="713">
        <v>63429.4</v>
      </c>
      <c r="P31" s="573">
        <v>24423.17</v>
      </c>
      <c r="Q31" s="573">
        <v>38.504494761104468</v>
      </c>
      <c r="R31" s="573">
        <v>39006.230000000003</v>
      </c>
    </row>
    <row r="32" spans="1:19" ht="33.75" customHeight="1" x14ac:dyDescent="0.2">
      <c r="A32" s="123" t="s">
        <v>80</v>
      </c>
      <c r="B32" s="232" t="s">
        <v>63</v>
      </c>
      <c r="C32" s="558">
        <v>6763.2</v>
      </c>
      <c r="D32" s="713">
        <f t="shared" ref="D32:E32" si="17">C32</f>
        <v>6763.2</v>
      </c>
      <c r="E32" s="713">
        <f t="shared" si="17"/>
        <v>6763.2</v>
      </c>
      <c r="F32" s="713">
        <v>6763.2</v>
      </c>
      <c r="G32" s="713">
        <v>6763.2</v>
      </c>
      <c r="H32" s="713">
        <v>6763.2</v>
      </c>
      <c r="I32" s="713">
        <v>6763.2</v>
      </c>
      <c r="J32" s="713">
        <v>6763.2</v>
      </c>
      <c r="K32" s="713">
        <v>6763.2</v>
      </c>
      <c r="L32" s="713">
        <v>6763.2</v>
      </c>
      <c r="M32" s="713">
        <v>6763.2</v>
      </c>
      <c r="N32" s="713">
        <v>6763.2</v>
      </c>
      <c r="O32" s="713">
        <v>6763.2</v>
      </c>
      <c r="P32" s="558">
        <v>1756.3</v>
      </c>
      <c r="Q32" s="573">
        <v>25.968476460846933</v>
      </c>
      <c r="R32" s="573">
        <v>5006.8999999999996</v>
      </c>
    </row>
    <row r="33" spans="1:18" ht="47.25" x14ac:dyDescent="0.2">
      <c r="A33" s="1028" t="s">
        <v>82</v>
      </c>
      <c r="B33" s="242" t="s">
        <v>63</v>
      </c>
      <c r="C33" s="558">
        <v>151682.70000000001</v>
      </c>
      <c r="D33" s="1043">
        <f>C33+18317.3</f>
        <v>170000</v>
      </c>
      <c r="E33" s="713">
        <f t="shared" ref="E33" si="18">D33</f>
        <v>170000</v>
      </c>
      <c r="F33" s="713">
        <v>170000</v>
      </c>
      <c r="G33" s="713">
        <v>170000</v>
      </c>
      <c r="H33" s="713">
        <v>170000</v>
      </c>
      <c r="I33" s="713">
        <v>170000</v>
      </c>
      <c r="J33" s="713">
        <v>170000</v>
      </c>
      <c r="K33" s="713">
        <v>170000</v>
      </c>
      <c r="L33" s="713">
        <v>170000</v>
      </c>
      <c r="M33" s="713">
        <v>170000</v>
      </c>
      <c r="N33" s="713">
        <v>170000</v>
      </c>
      <c r="O33" s="713">
        <v>170000</v>
      </c>
      <c r="P33" s="573">
        <v>105618.09826</v>
      </c>
      <c r="Q33" s="573">
        <v>62.128293094117652</v>
      </c>
      <c r="R33" s="573">
        <v>64381.901740000001</v>
      </c>
    </row>
    <row r="34" spans="1:18" ht="31.5" x14ac:dyDescent="0.2">
      <c r="A34" s="122" t="s">
        <v>84</v>
      </c>
      <c r="B34" s="232" t="s">
        <v>63</v>
      </c>
      <c r="C34" s="558">
        <v>80327.600000000006</v>
      </c>
      <c r="D34" s="713">
        <f t="shared" ref="D34:E34" si="19">C34</f>
        <v>80327.600000000006</v>
      </c>
      <c r="E34" s="713">
        <f t="shared" si="19"/>
        <v>80327.600000000006</v>
      </c>
      <c r="F34" s="713">
        <v>80327.600000000006</v>
      </c>
      <c r="G34" s="713">
        <v>80327.600000000006</v>
      </c>
      <c r="H34" s="713">
        <v>80327.600000000006</v>
      </c>
      <c r="I34" s="713">
        <v>80327.600000000006</v>
      </c>
      <c r="J34" s="713">
        <v>80327.600000000006</v>
      </c>
      <c r="K34" s="713">
        <v>80327.600000000006</v>
      </c>
      <c r="L34" s="713">
        <v>80327.600000000006</v>
      </c>
      <c r="M34" s="713">
        <v>80327.600000000006</v>
      </c>
      <c r="N34" s="713">
        <v>80327.600000000006</v>
      </c>
      <c r="O34" s="713">
        <v>80327.600000000006</v>
      </c>
      <c r="P34" s="573">
        <v>80327.599889999998</v>
      </c>
      <c r="Q34" s="573">
        <v>99.999999863060751</v>
      </c>
      <c r="R34" s="573">
        <v>1.1000000813510269E-4</v>
      </c>
    </row>
    <row r="35" spans="1:18" ht="31.5" x14ac:dyDescent="0.2">
      <c r="A35" s="122" t="s">
        <v>441</v>
      </c>
      <c r="B35" s="232" t="s">
        <v>63</v>
      </c>
      <c r="C35" s="558">
        <v>14850</v>
      </c>
      <c r="D35" s="713">
        <f t="shared" ref="D35:E35" si="20">C35</f>
        <v>14850</v>
      </c>
      <c r="E35" s="713">
        <f t="shared" si="20"/>
        <v>14850</v>
      </c>
      <c r="F35" s="713">
        <v>14850</v>
      </c>
      <c r="G35" s="713">
        <v>14850</v>
      </c>
      <c r="H35" s="713">
        <v>14850</v>
      </c>
      <c r="I35" s="713">
        <v>14850</v>
      </c>
      <c r="J35" s="713">
        <v>14850</v>
      </c>
      <c r="K35" s="713">
        <v>14850</v>
      </c>
      <c r="L35" s="713">
        <v>14850</v>
      </c>
      <c r="M35" s="713">
        <v>14850</v>
      </c>
      <c r="N35" s="713">
        <v>14850</v>
      </c>
      <c r="O35" s="713">
        <v>14850</v>
      </c>
      <c r="P35" s="573">
        <v>0</v>
      </c>
      <c r="Q35" s="573">
        <v>0</v>
      </c>
      <c r="R35" s="573">
        <v>14850</v>
      </c>
    </row>
    <row r="36" spans="1:18" ht="33" customHeight="1" x14ac:dyDescent="0.2">
      <c r="A36" s="122" t="s">
        <v>86</v>
      </c>
      <c r="B36" s="232" t="s">
        <v>63</v>
      </c>
      <c r="C36" s="558">
        <v>169000</v>
      </c>
      <c r="D36" s="713">
        <f t="shared" ref="D36:E36" si="21">C36</f>
        <v>169000</v>
      </c>
      <c r="E36" s="713">
        <f t="shared" si="21"/>
        <v>169000</v>
      </c>
      <c r="F36" s="713">
        <v>169000</v>
      </c>
      <c r="G36" s="713">
        <v>169000</v>
      </c>
      <c r="H36" s="713">
        <v>169000</v>
      </c>
      <c r="I36" s="713">
        <v>169000</v>
      </c>
      <c r="J36" s="713">
        <v>169000</v>
      </c>
      <c r="K36" s="713">
        <v>169000</v>
      </c>
      <c r="L36" s="713">
        <v>169000</v>
      </c>
      <c r="M36" s="713">
        <v>169000</v>
      </c>
      <c r="N36" s="713">
        <v>169000</v>
      </c>
      <c r="O36" s="713">
        <v>169000</v>
      </c>
      <c r="P36" s="573">
        <v>96117.724399999992</v>
      </c>
      <c r="Q36" s="573">
        <v>56.874393136094668</v>
      </c>
      <c r="R36" s="573">
        <v>72882.275600000008</v>
      </c>
    </row>
    <row r="37" spans="1:18" ht="31.5" x14ac:dyDescent="0.2">
      <c r="A37" s="122" t="s">
        <v>88</v>
      </c>
      <c r="B37" s="232" t="s">
        <v>63</v>
      </c>
      <c r="C37" s="558">
        <v>47168</v>
      </c>
      <c r="D37" s="713">
        <f t="shared" ref="D37:E37" si="22">C37</f>
        <v>47168</v>
      </c>
      <c r="E37" s="713">
        <f t="shared" si="22"/>
        <v>47168</v>
      </c>
      <c r="F37" s="713">
        <v>47168</v>
      </c>
      <c r="G37" s="713">
        <v>47168</v>
      </c>
      <c r="H37" s="713">
        <v>47168</v>
      </c>
      <c r="I37" s="713">
        <v>47168</v>
      </c>
      <c r="J37" s="713">
        <v>47168</v>
      </c>
      <c r="K37" s="713">
        <v>47168</v>
      </c>
      <c r="L37" s="713">
        <v>47168</v>
      </c>
      <c r="M37" s="713">
        <v>47168</v>
      </c>
      <c r="N37" s="713">
        <v>47168</v>
      </c>
      <c r="O37" s="713">
        <v>47168</v>
      </c>
      <c r="P37" s="573">
        <v>46680</v>
      </c>
      <c r="Q37" s="573">
        <v>98.965400271370413</v>
      </c>
      <c r="R37" s="573">
        <v>488</v>
      </c>
    </row>
    <row r="38" spans="1:18" ht="78.75" x14ac:dyDescent="0.2">
      <c r="A38" s="123" t="s">
        <v>90</v>
      </c>
      <c r="B38" s="232" t="s">
        <v>63</v>
      </c>
      <c r="C38" s="558">
        <v>50000</v>
      </c>
      <c r="D38" s="1043">
        <f>C38+25000</f>
        <v>75000</v>
      </c>
      <c r="E38" s="713">
        <f t="shared" ref="E38" si="23">D38</f>
        <v>75000</v>
      </c>
      <c r="F38" s="713">
        <v>75000</v>
      </c>
      <c r="G38" s="713">
        <v>75000</v>
      </c>
      <c r="H38" s="713">
        <v>75000</v>
      </c>
      <c r="I38" s="713">
        <v>75000</v>
      </c>
      <c r="J38" s="713">
        <v>75000</v>
      </c>
      <c r="K38" s="713">
        <v>75000</v>
      </c>
      <c r="L38" s="713">
        <v>75000</v>
      </c>
      <c r="M38" s="713">
        <v>75000</v>
      </c>
      <c r="N38" s="713">
        <v>75000</v>
      </c>
      <c r="O38" s="713">
        <v>75000</v>
      </c>
      <c r="P38" s="573">
        <v>75000</v>
      </c>
      <c r="Q38" s="573">
        <v>100</v>
      </c>
      <c r="R38" s="573">
        <v>0</v>
      </c>
    </row>
    <row r="39" spans="1:18" ht="31.5" x14ac:dyDescent="0.2">
      <c r="A39" s="122" t="s">
        <v>312</v>
      </c>
      <c r="B39" s="232" t="s">
        <v>63</v>
      </c>
      <c r="C39" s="558">
        <v>29472.1</v>
      </c>
      <c r="D39" s="1043">
        <f>C39-457.8</f>
        <v>29014.3</v>
      </c>
      <c r="E39" s="713">
        <f t="shared" ref="E39" si="24">D39</f>
        <v>29014.3</v>
      </c>
      <c r="F39" s="713">
        <v>29014.3</v>
      </c>
      <c r="G39" s="713">
        <v>29014.3</v>
      </c>
      <c r="H39" s="713">
        <v>29014.3</v>
      </c>
      <c r="I39" s="713">
        <v>29014.3</v>
      </c>
      <c r="J39" s="713">
        <v>29014.3</v>
      </c>
      <c r="K39" s="713">
        <v>29014.3</v>
      </c>
      <c r="L39" s="713">
        <v>29014.3</v>
      </c>
      <c r="M39" s="713">
        <v>29014.3</v>
      </c>
      <c r="N39" s="713">
        <v>29014.3</v>
      </c>
      <c r="O39" s="713">
        <v>29014.3</v>
      </c>
      <c r="P39" s="573">
        <v>0</v>
      </c>
      <c r="Q39" s="573">
        <v>0</v>
      </c>
      <c r="R39" s="573">
        <v>29014.3</v>
      </c>
    </row>
    <row r="40" spans="1:18" ht="31.5" x14ac:dyDescent="0.2">
      <c r="A40" s="122" t="s">
        <v>388</v>
      </c>
      <c r="B40" s="232" t="s">
        <v>67</v>
      </c>
      <c r="C40" s="558"/>
      <c r="D40" s="713">
        <f t="shared" ref="D40:E40" si="25">C40</f>
        <v>0</v>
      </c>
      <c r="E40" s="713">
        <f t="shared" si="25"/>
        <v>0</v>
      </c>
      <c r="F40" s="713">
        <v>0</v>
      </c>
      <c r="G40" s="713">
        <v>0</v>
      </c>
      <c r="H40" s="713">
        <v>0</v>
      </c>
      <c r="I40" s="713">
        <v>0</v>
      </c>
      <c r="J40" s="713">
        <v>0</v>
      </c>
      <c r="K40" s="713">
        <v>0</v>
      </c>
      <c r="L40" s="713">
        <v>0</v>
      </c>
      <c r="M40" s="713">
        <v>0</v>
      </c>
      <c r="N40" s="713">
        <v>0</v>
      </c>
      <c r="O40" s="713">
        <v>0</v>
      </c>
      <c r="P40" s="573"/>
      <c r="Q40" s="573"/>
      <c r="R40" s="573">
        <v>0</v>
      </c>
    </row>
    <row r="41" spans="1:18" x14ac:dyDescent="0.2">
      <c r="A41" s="420" t="s">
        <v>13</v>
      </c>
      <c r="B41" s="232" t="s">
        <v>63</v>
      </c>
      <c r="C41" s="558">
        <v>1806.2</v>
      </c>
      <c r="D41" s="713">
        <f t="shared" ref="D41:E41" si="26">C41</f>
        <v>1806.2</v>
      </c>
      <c r="E41" s="713">
        <f t="shared" si="26"/>
        <v>1806.2</v>
      </c>
      <c r="F41" s="713">
        <v>1806.2</v>
      </c>
      <c r="G41" s="713">
        <v>1806.2</v>
      </c>
      <c r="H41" s="713">
        <v>1806.2</v>
      </c>
      <c r="I41" s="713">
        <v>1806.2</v>
      </c>
      <c r="J41" s="713">
        <v>1806.2</v>
      </c>
      <c r="K41" s="713">
        <v>1806.2</v>
      </c>
      <c r="L41" s="713">
        <v>1806.2</v>
      </c>
      <c r="M41" s="713">
        <v>1806.2</v>
      </c>
      <c r="N41" s="713">
        <v>1806.2</v>
      </c>
      <c r="O41" s="713">
        <v>1806.2</v>
      </c>
      <c r="P41" s="573">
        <v>1806.1968499999998</v>
      </c>
      <c r="Q41" s="573">
        <v>99.999825600708661</v>
      </c>
      <c r="R41" s="573">
        <v>3.1500000002324668E-3</v>
      </c>
    </row>
    <row r="42" spans="1:18" x14ac:dyDescent="0.2">
      <c r="A42" s="420" t="s">
        <v>15</v>
      </c>
      <c r="B42" s="232" t="s">
        <v>64</v>
      </c>
      <c r="C42" s="558">
        <v>178810.3</v>
      </c>
      <c r="D42" s="713">
        <f t="shared" ref="D42:E42" si="27">C42</f>
        <v>178810.3</v>
      </c>
      <c r="E42" s="713">
        <f t="shared" si="27"/>
        <v>178810.3</v>
      </c>
      <c r="F42" s="713">
        <v>178810.3</v>
      </c>
      <c r="G42" s="713">
        <v>178810.3</v>
      </c>
      <c r="H42" s="713">
        <v>178810.3</v>
      </c>
      <c r="I42" s="713">
        <v>178810.3</v>
      </c>
      <c r="J42" s="713">
        <v>178810.3</v>
      </c>
      <c r="K42" s="713">
        <v>178810.3</v>
      </c>
      <c r="L42" s="713">
        <v>178810.3</v>
      </c>
      <c r="M42" s="713">
        <v>178810.3</v>
      </c>
      <c r="N42" s="713">
        <v>178810.3</v>
      </c>
      <c r="O42" s="713">
        <v>178810.3</v>
      </c>
      <c r="P42" s="573">
        <v>178809.98824000001</v>
      </c>
      <c r="Q42" s="573">
        <v>99.999825647627688</v>
      </c>
      <c r="R42" s="573">
        <v>0.31175999998231418</v>
      </c>
    </row>
    <row r="43" spans="1:18" ht="31.5" x14ac:dyDescent="0.2">
      <c r="A43" s="122" t="s">
        <v>93</v>
      </c>
      <c r="B43" s="232" t="s">
        <v>67</v>
      </c>
      <c r="C43" s="558"/>
      <c r="D43" s="713">
        <f t="shared" ref="D43:E43" si="28">C43</f>
        <v>0</v>
      </c>
      <c r="E43" s="713">
        <f t="shared" si="28"/>
        <v>0</v>
      </c>
      <c r="F43" s="713">
        <v>0</v>
      </c>
      <c r="G43" s="713">
        <v>0</v>
      </c>
      <c r="H43" s="713">
        <v>0</v>
      </c>
      <c r="I43" s="713">
        <v>0</v>
      </c>
      <c r="J43" s="713">
        <v>0</v>
      </c>
      <c r="K43" s="713">
        <v>0</v>
      </c>
      <c r="L43" s="713">
        <v>0</v>
      </c>
      <c r="M43" s="713">
        <v>0</v>
      </c>
      <c r="N43" s="713">
        <v>0</v>
      </c>
      <c r="O43" s="713">
        <v>0</v>
      </c>
      <c r="P43" s="573"/>
      <c r="Q43" s="573"/>
      <c r="R43" s="573">
        <v>0</v>
      </c>
    </row>
    <row r="44" spans="1:18" ht="19.5" customHeight="1" x14ac:dyDescent="0.2">
      <c r="A44" s="420" t="s">
        <v>13</v>
      </c>
      <c r="B44" s="232" t="s">
        <v>63</v>
      </c>
      <c r="C44" s="558">
        <v>59548.1</v>
      </c>
      <c r="D44" s="713">
        <f t="shared" ref="D44:E44" si="29">C44</f>
        <v>59548.1</v>
      </c>
      <c r="E44" s="713">
        <f t="shared" si="29"/>
        <v>59548.1</v>
      </c>
      <c r="F44" s="713">
        <v>59548.1</v>
      </c>
      <c r="G44" s="713">
        <v>59548.1</v>
      </c>
      <c r="H44" s="713">
        <v>59548.1</v>
      </c>
      <c r="I44" s="713">
        <v>59548.1</v>
      </c>
      <c r="J44" s="713">
        <v>59548.1</v>
      </c>
      <c r="K44" s="713">
        <v>59548.1</v>
      </c>
      <c r="L44" s="713">
        <v>59548.1</v>
      </c>
      <c r="M44" s="713">
        <v>59548.1</v>
      </c>
      <c r="N44" s="713">
        <v>59548.1</v>
      </c>
      <c r="O44" s="713">
        <v>59548.1</v>
      </c>
      <c r="P44" s="573">
        <v>59548.013949999993</v>
      </c>
      <c r="Q44" s="573">
        <v>99.999855494969609</v>
      </c>
      <c r="R44" s="573">
        <v>8.6050000005343463E-2</v>
      </c>
    </row>
    <row r="45" spans="1:18" ht="19.5" customHeight="1" x14ac:dyDescent="0.2">
      <c r="A45" s="420" t="s">
        <v>15</v>
      </c>
      <c r="B45" s="232" t="s">
        <v>64</v>
      </c>
      <c r="C45" s="558">
        <v>145790.1</v>
      </c>
      <c r="D45" s="713">
        <f>C45</f>
        <v>145790.1</v>
      </c>
      <c r="E45" s="713">
        <f t="shared" ref="E45" si="30">D45</f>
        <v>145790.1</v>
      </c>
      <c r="F45" s="713">
        <v>145790.1</v>
      </c>
      <c r="G45" s="713">
        <v>145790.1</v>
      </c>
      <c r="H45" s="713">
        <v>145790.1</v>
      </c>
      <c r="I45" s="713">
        <v>145790.1</v>
      </c>
      <c r="J45" s="713">
        <v>145790.1</v>
      </c>
      <c r="K45" s="713">
        <v>145790.1</v>
      </c>
      <c r="L45" s="713">
        <v>145790.1</v>
      </c>
      <c r="M45" s="713">
        <v>145790.1</v>
      </c>
      <c r="N45" s="713">
        <v>145790.1</v>
      </c>
      <c r="O45" s="713">
        <v>145790.1</v>
      </c>
      <c r="P45" s="573">
        <v>145789.96518999999</v>
      </c>
      <c r="Q45" s="573">
        <v>99.999907531444165</v>
      </c>
      <c r="R45" s="573">
        <v>0.13481000001775101</v>
      </c>
    </row>
    <row r="46" spans="1:18" ht="34.5" customHeight="1" x14ac:dyDescent="0.2">
      <c r="A46" s="122" t="s">
        <v>414</v>
      </c>
      <c r="B46" s="232" t="s">
        <v>67</v>
      </c>
      <c r="C46" s="558"/>
      <c r="D46" s="713">
        <f>C46</f>
        <v>0</v>
      </c>
      <c r="E46" s="713"/>
      <c r="F46" s="713"/>
      <c r="G46" s="713"/>
      <c r="H46" s="713"/>
      <c r="I46" s="713"/>
      <c r="J46" s="713"/>
      <c r="K46" s="713"/>
      <c r="L46" s="713"/>
      <c r="M46" s="713">
        <v>0</v>
      </c>
      <c r="N46" s="713">
        <v>0</v>
      </c>
      <c r="O46" s="713">
        <v>0</v>
      </c>
      <c r="P46" s="573"/>
      <c r="Q46" s="573"/>
      <c r="R46" s="573">
        <v>0</v>
      </c>
    </row>
    <row r="47" spans="1:18" ht="19.5" customHeight="1" x14ac:dyDescent="0.2">
      <c r="A47" s="420" t="s">
        <v>13</v>
      </c>
      <c r="B47" s="232" t="s">
        <v>63</v>
      </c>
      <c r="C47" s="558">
        <v>346</v>
      </c>
      <c r="D47" s="713">
        <f>C47</f>
        <v>346</v>
      </c>
      <c r="E47" s="713">
        <f t="shared" ref="E47:E48" si="31">D47</f>
        <v>346</v>
      </c>
      <c r="F47" s="713">
        <v>346</v>
      </c>
      <c r="G47" s="713">
        <v>346</v>
      </c>
      <c r="H47" s="713">
        <v>346</v>
      </c>
      <c r="I47" s="713">
        <v>346</v>
      </c>
      <c r="J47" s="713">
        <v>346</v>
      </c>
      <c r="K47" s="713">
        <v>346</v>
      </c>
      <c r="L47" s="713">
        <v>346</v>
      </c>
      <c r="M47" s="713">
        <v>346</v>
      </c>
      <c r="N47" s="713">
        <v>346</v>
      </c>
      <c r="O47" s="713">
        <v>346</v>
      </c>
      <c r="P47" s="573"/>
      <c r="Q47" s="573"/>
      <c r="R47" s="573">
        <v>346</v>
      </c>
    </row>
    <row r="48" spans="1:18" ht="19.5" customHeight="1" x14ac:dyDescent="0.2">
      <c r="A48" s="420" t="s">
        <v>15</v>
      </c>
      <c r="B48" s="232" t="s">
        <v>64</v>
      </c>
      <c r="C48" s="558">
        <v>847.1</v>
      </c>
      <c r="D48" s="713">
        <f>C48</f>
        <v>847.1</v>
      </c>
      <c r="E48" s="713">
        <f t="shared" si="31"/>
        <v>847.1</v>
      </c>
      <c r="F48" s="713">
        <v>847.1</v>
      </c>
      <c r="G48" s="713">
        <v>847.1</v>
      </c>
      <c r="H48" s="713">
        <v>847.1</v>
      </c>
      <c r="I48" s="713">
        <v>847.1</v>
      </c>
      <c r="J48" s="713">
        <v>847.1</v>
      </c>
      <c r="K48" s="713">
        <v>847.1</v>
      </c>
      <c r="L48" s="713">
        <v>847.1</v>
      </c>
      <c r="M48" s="713">
        <v>847.1</v>
      </c>
      <c r="N48" s="713">
        <v>847.1</v>
      </c>
      <c r="O48" s="713">
        <v>847.1</v>
      </c>
      <c r="P48" s="573"/>
      <c r="Q48" s="573"/>
      <c r="R48" s="573">
        <v>847.1</v>
      </c>
    </row>
    <row r="49" spans="1:19" ht="47.25" x14ac:dyDescent="0.2">
      <c r="A49" s="122" t="s">
        <v>310</v>
      </c>
      <c r="B49" s="232" t="s">
        <v>67</v>
      </c>
      <c r="C49" s="558"/>
      <c r="D49" s="713">
        <f t="shared" ref="D49:E49" si="32">C49</f>
        <v>0</v>
      </c>
      <c r="E49" s="713">
        <f t="shared" si="32"/>
        <v>0</v>
      </c>
      <c r="F49" s="713">
        <v>0</v>
      </c>
      <c r="G49" s="713">
        <v>0</v>
      </c>
      <c r="H49" s="713">
        <v>0</v>
      </c>
      <c r="I49" s="713">
        <v>0</v>
      </c>
      <c r="J49" s="713">
        <v>0</v>
      </c>
      <c r="K49" s="713">
        <v>0</v>
      </c>
      <c r="L49" s="713">
        <v>0</v>
      </c>
      <c r="M49" s="713">
        <v>0</v>
      </c>
      <c r="N49" s="713">
        <v>0</v>
      </c>
      <c r="O49" s="713">
        <v>0</v>
      </c>
      <c r="P49" s="573"/>
      <c r="Q49" s="573"/>
      <c r="R49" s="573">
        <v>0</v>
      </c>
    </row>
    <row r="50" spans="1:19" x14ac:dyDescent="0.2">
      <c r="A50" s="420" t="s">
        <v>13</v>
      </c>
      <c r="B50" s="232" t="s">
        <v>63</v>
      </c>
      <c r="C50" s="558">
        <v>45124.5</v>
      </c>
      <c r="D50" s="713">
        <f t="shared" ref="D50:E50" si="33">C50</f>
        <v>45124.5</v>
      </c>
      <c r="E50" s="713">
        <f t="shared" si="33"/>
        <v>45124.5</v>
      </c>
      <c r="F50" s="713">
        <v>45124.5</v>
      </c>
      <c r="G50" s="713">
        <v>45124.5</v>
      </c>
      <c r="H50" s="713">
        <v>45124.5</v>
      </c>
      <c r="I50" s="713">
        <v>45124.5</v>
      </c>
      <c r="J50" s="713">
        <v>45124.5</v>
      </c>
      <c r="K50" s="713">
        <v>45124.5</v>
      </c>
      <c r="L50" s="713">
        <v>45124.5</v>
      </c>
      <c r="M50" s="713">
        <v>45124.5</v>
      </c>
      <c r="N50" s="713">
        <v>45124.5</v>
      </c>
      <c r="O50" s="713">
        <v>45124.5</v>
      </c>
      <c r="P50" s="573">
        <v>40778.962449999999</v>
      </c>
      <c r="Q50" s="573">
        <v>99.999977772606911</v>
      </c>
      <c r="R50" s="573">
        <v>4345.5375500000009</v>
      </c>
    </row>
    <row r="51" spans="1:19" x14ac:dyDescent="0.2">
      <c r="A51" s="420" t="s">
        <v>15</v>
      </c>
      <c r="B51" s="232" t="s">
        <v>64</v>
      </c>
      <c r="C51" s="558">
        <v>110477.2</v>
      </c>
      <c r="D51" s="713">
        <f t="shared" ref="D51:E51" si="34">C51</f>
        <v>110477.2</v>
      </c>
      <c r="E51" s="713">
        <f t="shared" si="34"/>
        <v>110477.2</v>
      </c>
      <c r="F51" s="713">
        <v>110477.2</v>
      </c>
      <c r="G51" s="713">
        <v>110477.2</v>
      </c>
      <c r="H51" s="713">
        <v>110477.2</v>
      </c>
      <c r="I51" s="713">
        <v>110477.2</v>
      </c>
      <c r="J51" s="713">
        <v>110477.2</v>
      </c>
      <c r="K51" s="713">
        <v>110477.2</v>
      </c>
      <c r="L51" s="713">
        <v>110477.2</v>
      </c>
      <c r="M51" s="713">
        <v>110477.2</v>
      </c>
      <c r="N51" s="713">
        <v>110477.2</v>
      </c>
      <c r="O51" s="713">
        <v>110477.2</v>
      </c>
      <c r="P51" s="573">
        <v>99838.149390000006</v>
      </c>
      <c r="Q51" s="573">
        <v>99.999999556469561</v>
      </c>
      <c r="R51" s="573">
        <v>10639.050609999991</v>
      </c>
    </row>
    <row r="52" spans="1:19" ht="31.5" x14ac:dyDescent="0.2">
      <c r="A52" s="122" t="s">
        <v>94</v>
      </c>
      <c r="B52" s="232" t="s">
        <v>67</v>
      </c>
      <c r="C52" s="558"/>
      <c r="D52" s="713">
        <f t="shared" ref="D52:E52" si="35">C52</f>
        <v>0</v>
      </c>
      <c r="E52" s="713">
        <f t="shared" si="35"/>
        <v>0</v>
      </c>
      <c r="F52" s="713">
        <v>0</v>
      </c>
      <c r="G52" s="713">
        <v>0</v>
      </c>
      <c r="H52" s="713">
        <v>0</v>
      </c>
      <c r="I52" s="713">
        <v>0</v>
      </c>
      <c r="J52" s="713">
        <v>0</v>
      </c>
      <c r="K52" s="713">
        <v>0</v>
      </c>
      <c r="L52" s="713">
        <v>0</v>
      </c>
      <c r="M52" s="713">
        <v>0</v>
      </c>
      <c r="N52" s="713">
        <v>0</v>
      </c>
      <c r="O52" s="713">
        <v>0</v>
      </c>
      <c r="P52" s="573"/>
      <c r="Q52" s="573"/>
      <c r="R52" s="573">
        <v>0</v>
      </c>
      <c r="S52" s="424"/>
    </row>
    <row r="53" spans="1:19" x14ac:dyDescent="0.2">
      <c r="A53" s="420" t="s">
        <v>13</v>
      </c>
      <c r="B53" s="232" t="s">
        <v>63</v>
      </c>
      <c r="C53" s="558">
        <v>19657.3</v>
      </c>
      <c r="D53" s="713">
        <f t="shared" ref="D53" si="36">C53</f>
        <v>19657.3</v>
      </c>
      <c r="E53" s="1049">
        <f>D53-109.56886</f>
        <v>19547.73114</v>
      </c>
      <c r="F53" s="713">
        <v>19547.73114</v>
      </c>
      <c r="G53" s="713">
        <v>19547.73114</v>
      </c>
      <c r="H53" s="713">
        <v>19547.73114</v>
      </c>
      <c r="I53" s="713">
        <v>19547.73114</v>
      </c>
      <c r="J53" s="713">
        <v>19547.73114</v>
      </c>
      <c r="K53" s="713">
        <v>19547.73114</v>
      </c>
      <c r="L53" s="713">
        <v>19547.73114</v>
      </c>
      <c r="M53" s="713">
        <v>19547.73114</v>
      </c>
      <c r="N53" s="713">
        <v>19547.73114</v>
      </c>
      <c r="O53" s="713">
        <v>19547.73114</v>
      </c>
      <c r="P53" s="573">
        <v>19547.770720000004</v>
      </c>
      <c r="Q53" s="573">
        <v>100.0002024787415</v>
      </c>
      <c r="R53" s="573">
        <v>-3.958000000420725E-2</v>
      </c>
      <c r="S53" s="424"/>
    </row>
    <row r="54" spans="1:19" x14ac:dyDescent="0.2">
      <c r="A54" s="420" t="s">
        <v>15</v>
      </c>
      <c r="B54" s="232" t="s">
        <v>64</v>
      </c>
      <c r="C54" s="558">
        <v>48126.6</v>
      </c>
      <c r="D54" s="713">
        <f>C54</f>
        <v>48126.6</v>
      </c>
      <c r="E54" s="1049">
        <f>D54-268.25478</f>
        <v>47858.345219999996</v>
      </c>
      <c r="F54" s="713">
        <v>47858.345219999996</v>
      </c>
      <c r="G54" s="713">
        <v>47858.345219999996</v>
      </c>
      <c r="H54" s="713">
        <v>47858.345219999996</v>
      </c>
      <c r="I54" s="713">
        <v>47858.345219999996</v>
      </c>
      <c r="J54" s="713">
        <v>47858.345219999996</v>
      </c>
      <c r="K54" s="713">
        <v>47858.345219999996</v>
      </c>
      <c r="L54" s="713">
        <v>47858.345219999996</v>
      </c>
      <c r="M54" s="713">
        <v>47858.345219999996</v>
      </c>
      <c r="N54" s="713">
        <v>47858.345219999996</v>
      </c>
      <c r="O54" s="713">
        <v>47858.345219999996</v>
      </c>
      <c r="P54" s="573">
        <v>47858.335220000008</v>
      </c>
      <c r="Q54" s="573">
        <v>99.999979105002595</v>
      </c>
      <c r="R54" s="573">
        <v>9.9999999874853529E-3</v>
      </c>
    </row>
    <row r="55" spans="1:19" ht="31.5" x14ac:dyDescent="0.2">
      <c r="A55" s="122" t="s">
        <v>95</v>
      </c>
      <c r="B55" s="232" t="s">
        <v>67</v>
      </c>
      <c r="C55" s="558"/>
      <c r="D55" s="713">
        <f t="shared" ref="D55:E55" si="37">C55</f>
        <v>0</v>
      </c>
      <c r="E55" s="713">
        <f t="shared" si="37"/>
        <v>0</v>
      </c>
      <c r="F55" s="713">
        <v>0</v>
      </c>
      <c r="G55" s="713">
        <v>0</v>
      </c>
      <c r="H55" s="713">
        <v>0</v>
      </c>
      <c r="I55" s="713">
        <v>0</v>
      </c>
      <c r="J55" s="713">
        <v>0</v>
      </c>
      <c r="K55" s="713">
        <v>0</v>
      </c>
      <c r="L55" s="713">
        <v>0</v>
      </c>
      <c r="M55" s="713">
        <v>0</v>
      </c>
      <c r="N55" s="713">
        <v>0</v>
      </c>
      <c r="O55" s="713">
        <v>0</v>
      </c>
      <c r="P55" s="573"/>
      <c r="Q55" s="573"/>
      <c r="R55" s="573">
        <v>0</v>
      </c>
    </row>
    <row r="56" spans="1:19" ht="15.75" customHeight="1" x14ac:dyDescent="0.2">
      <c r="A56" s="420" t="s">
        <v>13</v>
      </c>
      <c r="B56" s="232" t="s">
        <v>63</v>
      </c>
      <c r="C56" s="558">
        <v>49589.9</v>
      </c>
      <c r="D56" s="1043">
        <f>C56-0.1</f>
        <v>49589.8</v>
      </c>
      <c r="E56" s="713">
        <f t="shared" ref="E56" si="38">D56</f>
        <v>49589.8</v>
      </c>
      <c r="F56" s="713">
        <v>49589.8</v>
      </c>
      <c r="G56" s="713">
        <v>49589.8</v>
      </c>
      <c r="H56" s="713">
        <v>49589.8</v>
      </c>
      <c r="I56" s="713">
        <v>49589.8</v>
      </c>
      <c r="J56" s="713">
        <v>49589.8</v>
      </c>
      <c r="K56" s="713">
        <v>49589.8</v>
      </c>
      <c r="L56" s="713">
        <v>49589.8</v>
      </c>
      <c r="M56" s="713">
        <v>49589.8</v>
      </c>
      <c r="N56" s="713">
        <v>49589.8</v>
      </c>
      <c r="O56" s="713">
        <v>49589.8</v>
      </c>
      <c r="P56" s="573">
        <v>49589.812859999998</v>
      </c>
      <c r="Q56" s="573">
        <v>100.00002593275229</v>
      </c>
      <c r="R56" s="573">
        <v>-1.285999999527121E-2</v>
      </c>
    </row>
    <row r="57" spans="1:19" x14ac:dyDescent="0.2">
      <c r="A57" s="420" t="s">
        <v>15</v>
      </c>
      <c r="B57" s="232" t="s">
        <v>64</v>
      </c>
      <c r="C57" s="558">
        <v>121409.60000000001</v>
      </c>
      <c r="D57" s="713">
        <f t="shared" ref="D57:E57" si="39">C57</f>
        <v>121409.60000000001</v>
      </c>
      <c r="E57" s="713">
        <f t="shared" si="39"/>
        <v>121409.60000000001</v>
      </c>
      <c r="F57" s="713">
        <v>121409.60000000001</v>
      </c>
      <c r="G57" s="713">
        <v>121409.60000000001</v>
      </c>
      <c r="H57" s="713">
        <v>121409.60000000001</v>
      </c>
      <c r="I57" s="713">
        <v>121409.60000000001</v>
      </c>
      <c r="J57" s="713">
        <v>121409.60000000001</v>
      </c>
      <c r="K57" s="713">
        <v>121409.60000000001</v>
      </c>
      <c r="L57" s="713">
        <v>121409.60000000001</v>
      </c>
      <c r="M57" s="713">
        <v>121409.60000000001</v>
      </c>
      <c r="N57" s="713">
        <v>121409.60000000001</v>
      </c>
      <c r="O57" s="713">
        <v>121409.60000000001</v>
      </c>
      <c r="P57" s="573">
        <v>121409.54182</v>
      </c>
      <c r="Q57" s="573">
        <v>99.999952079571955</v>
      </c>
      <c r="R57" s="573">
        <v>5.8180000007268973E-2</v>
      </c>
    </row>
    <row r="58" spans="1:19" ht="54" customHeight="1" x14ac:dyDescent="0.2">
      <c r="A58" s="123" t="s">
        <v>311</v>
      </c>
      <c r="B58" s="232" t="s">
        <v>67</v>
      </c>
      <c r="C58" s="558"/>
      <c r="D58" s="713">
        <f t="shared" ref="D58:E58" si="40">C58</f>
        <v>0</v>
      </c>
      <c r="E58" s="713">
        <f t="shared" si="40"/>
        <v>0</v>
      </c>
      <c r="F58" s="713">
        <v>0</v>
      </c>
      <c r="G58" s="713">
        <v>0</v>
      </c>
      <c r="H58" s="713">
        <v>0</v>
      </c>
      <c r="I58" s="713">
        <v>0</v>
      </c>
      <c r="J58" s="713">
        <v>0</v>
      </c>
      <c r="K58" s="713">
        <v>0</v>
      </c>
      <c r="L58" s="713">
        <v>0</v>
      </c>
      <c r="M58" s="713">
        <v>0</v>
      </c>
      <c r="N58" s="713">
        <v>0</v>
      </c>
      <c r="O58" s="713">
        <v>0</v>
      </c>
      <c r="P58" s="573"/>
      <c r="Q58" s="573"/>
      <c r="R58" s="573">
        <v>0</v>
      </c>
    </row>
    <row r="59" spans="1:19" x14ac:dyDescent="0.2">
      <c r="A59" s="420" t="s">
        <v>13</v>
      </c>
      <c r="B59" s="232" t="s">
        <v>63</v>
      </c>
      <c r="C59" s="558">
        <v>62344.2</v>
      </c>
      <c r="D59" s="713">
        <f t="shared" ref="D59" si="41">C59</f>
        <v>62344.2</v>
      </c>
      <c r="E59" s="1049">
        <f>D59+109.56886</f>
        <v>62453.768859999996</v>
      </c>
      <c r="F59" s="713">
        <v>62453.768859999996</v>
      </c>
      <c r="G59" s="713">
        <v>62453.768859999996</v>
      </c>
      <c r="H59" s="713">
        <v>62453.768859999996</v>
      </c>
      <c r="I59" s="713">
        <v>62453.768859999996</v>
      </c>
      <c r="J59" s="713">
        <v>62453.768859999996</v>
      </c>
      <c r="K59" s="713">
        <v>62453.768859999996</v>
      </c>
      <c r="L59" s="713">
        <v>62453.768859999996</v>
      </c>
      <c r="M59" s="713">
        <v>62453.768859999996</v>
      </c>
      <c r="N59" s="713">
        <v>62453.768859999996</v>
      </c>
      <c r="O59" s="713">
        <v>62453.768859999996</v>
      </c>
      <c r="P59" s="573">
        <v>60141.886929999993</v>
      </c>
      <c r="Q59" s="573">
        <v>96.298250734583448</v>
      </c>
      <c r="R59" s="573">
        <v>2311.8819300000032</v>
      </c>
      <c r="S59" s="424"/>
    </row>
    <row r="60" spans="1:19" x14ac:dyDescent="0.2">
      <c r="A60" s="420" t="s">
        <v>15</v>
      </c>
      <c r="B60" s="232" t="s">
        <v>64</v>
      </c>
      <c r="C60" s="558">
        <v>152635.79999999999</v>
      </c>
      <c r="D60" s="713">
        <f t="shared" ref="D60" si="42">C60</f>
        <v>152635.79999999999</v>
      </c>
      <c r="E60" s="1049">
        <f>D60+268.25478</f>
        <v>152904.05477999998</v>
      </c>
      <c r="F60" s="713">
        <v>152904.05477999998</v>
      </c>
      <c r="G60" s="713">
        <v>152904.05477999998</v>
      </c>
      <c r="H60" s="713">
        <v>152904.05477999998</v>
      </c>
      <c r="I60" s="713">
        <v>152904.05477999998</v>
      </c>
      <c r="J60" s="713">
        <v>152904.05477999998</v>
      </c>
      <c r="K60" s="713">
        <v>152904.05477999998</v>
      </c>
      <c r="L60" s="713">
        <v>152904.05477999998</v>
      </c>
      <c r="M60" s="713">
        <v>152904.05477999998</v>
      </c>
      <c r="N60" s="713">
        <v>152904.05477999998</v>
      </c>
      <c r="O60" s="713">
        <v>152904.05477999998</v>
      </c>
      <c r="P60" s="573">
        <v>147243.93005000002</v>
      </c>
      <c r="Q60" s="573">
        <v>96.2982507310589</v>
      </c>
      <c r="R60" s="573">
        <v>5660.1247299999523</v>
      </c>
      <c r="S60" s="424"/>
    </row>
    <row r="61" spans="1:19" ht="63" x14ac:dyDescent="0.2">
      <c r="A61" s="122" t="s">
        <v>333</v>
      </c>
      <c r="B61" s="232" t="s">
        <v>67</v>
      </c>
      <c r="C61" s="558"/>
      <c r="D61" s="713">
        <f t="shared" ref="D61:E61" si="43">C61</f>
        <v>0</v>
      </c>
      <c r="E61" s="713">
        <f t="shared" si="43"/>
        <v>0</v>
      </c>
      <c r="F61" s="713">
        <v>0</v>
      </c>
      <c r="G61" s="713">
        <v>0</v>
      </c>
      <c r="H61" s="713">
        <v>0</v>
      </c>
      <c r="I61" s="713">
        <v>0</v>
      </c>
      <c r="J61" s="713">
        <v>0</v>
      </c>
      <c r="K61" s="713">
        <v>0</v>
      </c>
      <c r="L61" s="713">
        <v>0</v>
      </c>
      <c r="M61" s="713">
        <v>0</v>
      </c>
      <c r="N61" s="713">
        <v>0</v>
      </c>
      <c r="O61" s="713">
        <v>0</v>
      </c>
      <c r="P61" s="573"/>
      <c r="Q61" s="573"/>
      <c r="R61" s="573">
        <v>0</v>
      </c>
    </row>
    <row r="62" spans="1:19" ht="15.75" customHeight="1" x14ac:dyDescent="0.2">
      <c r="A62" s="420" t="s">
        <v>13</v>
      </c>
      <c r="B62" s="232" t="s">
        <v>63</v>
      </c>
      <c r="C62" s="558">
        <v>22111.200000000001</v>
      </c>
      <c r="D62" s="713">
        <f t="shared" ref="D62:E62" si="44">C62</f>
        <v>22111.200000000001</v>
      </c>
      <c r="E62" s="713">
        <f t="shared" si="44"/>
        <v>22111.200000000001</v>
      </c>
      <c r="F62" s="713">
        <v>22111.200000000001</v>
      </c>
      <c r="G62" s="713">
        <v>22111.200000000001</v>
      </c>
      <c r="H62" s="713">
        <v>22111.200000000001</v>
      </c>
      <c r="I62" s="713">
        <v>22111.200000000001</v>
      </c>
      <c r="J62" s="713">
        <v>22111.200000000001</v>
      </c>
      <c r="K62" s="713">
        <v>22111.200000000001</v>
      </c>
      <c r="L62" s="713">
        <v>22111.200000000001</v>
      </c>
      <c r="M62" s="713">
        <v>22111.200000000001</v>
      </c>
      <c r="N62" s="713">
        <v>22111.200000000001</v>
      </c>
      <c r="O62" s="713">
        <v>22111.200000000001</v>
      </c>
      <c r="P62" s="573">
        <v>2528.55557</v>
      </c>
      <c r="Q62" s="573">
        <v>11.435632484894533</v>
      </c>
      <c r="R62" s="573">
        <v>19582.64443</v>
      </c>
    </row>
    <row r="63" spans="1:19" x14ac:dyDescent="0.2">
      <c r="A63" s="420" t="s">
        <v>15</v>
      </c>
      <c r="B63" s="232" t="s">
        <v>64</v>
      </c>
      <c r="C63" s="558">
        <v>54134.400000000001</v>
      </c>
      <c r="D63" s="713">
        <f t="shared" ref="D63:E63" si="45">C63</f>
        <v>54134.400000000001</v>
      </c>
      <c r="E63" s="713">
        <f t="shared" si="45"/>
        <v>54134.400000000001</v>
      </c>
      <c r="F63" s="713">
        <v>54134.400000000001</v>
      </c>
      <c r="G63" s="713">
        <v>54134.400000000001</v>
      </c>
      <c r="H63" s="713">
        <v>54134.400000000001</v>
      </c>
      <c r="I63" s="713">
        <v>54134.400000000001</v>
      </c>
      <c r="J63" s="713">
        <v>54134.400000000001</v>
      </c>
      <c r="K63" s="713">
        <v>54134.400000000001</v>
      </c>
      <c r="L63" s="713">
        <v>54134.400000000001</v>
      </c>
      <c r="M63" s="713">
        <v>54134.400000000001</v>
      </c>
      <c r="N63" s="713">
        <v>54134.400000000001</v>
      </c>
      <c r="O63" s="713">
        <v>54134.400000000001</v>
      </c>
      <c r="P63" s="573">
        <v>6190.6015700000007</v>
      </c>
      <c r="Q63" s="573">
        <v>11.435615006354556</v>
      </c>
      <c r="R63" s="573">
        <v>47943.798430000003</v>
      </c>
    </row>
    <row r="64" spans="1:19" ht="31.5" customHeight="1" x14ac:dyDescent="0.2">
      <c r="A64" s="122" t="s">
        <v>384</v>
      </c>
      <c r="B64" s="232" t="s">
        <v>67</v>
      </c>
      <c r="C64" s="558"/>
      <c r="D64" s="713">
        <f t="shared" ref="D64:E64" si="46">C64</f>
        <v>0</v>
      </c>
      <c r="E64" s="713">
        <f t="shared" si="46"/>
        <v>0</v>
      </c>
      <c r="F64" s="713">
        <v>0</v>
      </c>
      <c r="G64" s="713">
        <v>0</v>
      </c>
      <c r="H64" s="713">
        <v>0</v>
      </c>
      <c r="I64" s="713">
        <v>0</v>
      </c>
      <c r="J64" s="713">
        <v>0</v>
      </c>
      <c r="K64" s="713">
        <v>0</v>
      </c>
      <c r="L64" s="713">
        <v>0</v>
      </c>
      <c r="M64" s="713">
        <v>0</v>
      </c>
      <c r="N64" s="713">
        <v>0</v>
      </c>
      <c r="O64" s="713">
        <v>0</v>
      </c>
      <c r="P64" s="573"/>
      <c r="Q64" s="573"/>
      <c r="R64" s="573">
        <v>0</v>
      </c>
      <c r="S64" s="424"/>
    </row>
    <row r="65" spans="1:19" x14ac:dyDescent="0.2">
      <c r="A65" s="420" t="s">
        <v>13</v>
      </c>
      <c r="B65" s="232" t="s">
        <v>63</v>
      </c>
      <c r="C65" s="558">
        <v>13845.8</v>
      </c>
      <c r="D65" s="1043">
        <f>C65-0.1</f>
        <v>13845.699999999999</v>
      </c>
      <c r="E65" s="713">
        <f t="shared" ref="E65" si="47">D65</f>
        <v>13845.699999999999</v>
      </c>
      <c r="F65" s="713">
        <v>13845.699999999999</v>
      </c>
      <c r="G65" s="1045">
        <v>13845.699999999999</v>
      </c>
      <c r="H65" s="713">
        <v>13845.699999999999</v>
      </c>
      <c r="I65" s="713">
        <v>13845.699999999999</v>
      </c>
      <c r="J65" s="713">
        <v>13845.699999999999</v>
      </c>
      <c r="K65" s="713">
        <v>13845.699999999999</v>
      </c>
      <c r="L65" s="713">
        <v>13845.699999999999</v>
      </c>
      <c r="M65" s="713">
        <v>13845.699999999999</v>
      </c>
      <c r="N65" s="713">
        <v>13845.699999999999</v>
      </c>
      <c r="O65" s="713">
        <v>13845.699999999999</v>
      </c>
      <c r="P65" s="573">
        <v>0</v>
      </c>
      <c r="Q65" s="573">
        <v>0</v>
      </c>
      <c r="R65" s="573">
        <v>13845.699999999999</v>
      </c>
      <c r="S65" s="424"/>
    </row>
    <row r="66" spans="1:19" x14ac:dyDescent="0.2">
      <c r="A66" s="420" t="s">
        <v>15</v>
      </c>
      <c r="B66" s="232" t="s">
        <v>64</v>
      </c>
      <c r="C66" s="558">
        <v>263071.09999999998</v>
      </c>
      <c r="D66" s="1043"/>
      <c r="E66" s="713">
        <f t="shared" ref="E66" si="48">D66</f>
        <v>0</v>
      </c>
      <c r="F66" s="713">
        <v>0</v>
      </c>
      <c r="G66" s="713">
        <v>0</v>
      </c>
      <c r="H66" s="713">
        <v>0</v>
      </c>
      <c r="I66" s="713">
        <v>0</v>
      </c>
      <c r="J66" s="713">
        <v>0</v>
      </c>
      <c r="K66" s="713">
        <v>0</v>
      </c>
      <c r="L66" s="713">
        <v>0</v>
      </c>
      <c r="M66" s="713">
        <v>0</v>
      </c>
      <c r="N66" s="713">
        <v>0</v>
      </c>
      <c r="O66" s="713">
        <v>0</v>
      </c>
      <c r="P66" s="573">
        <v>0</v>
      </c>
      <c r="Q66" s="573"/>
      <c r="R66" s="573">
        <v>0</v>
      </c>
      <c r="S66" s="424"/>
    </row>
    <row r="67" spans="1:19" ht="31.5" x14ac:dyDescent="0.2">
      <c r="A67" s="122" t="s">
        <v>530</v>
      </c>
      <c r="B67" s="232" t="s">
        <v>67</v>
      </c>
      <c r="C67" s="558"/>
      <c r="D67" s="713"/>
      <c r="E67" s="713">
        <f t="shared" ref="E67" si="49">D67</f>
        <v>0</v>
      </c>
      <c r="F67" s="713">
        <v>0</v>
      </c>
      <c r="G67" s="713">
        <v>0</v>
      </c>
      <c r="H67" s="713">
        <v>0</v>
      </c>
      <c r="I67" s="713">
        <v>0</v>
      </c>
      <c r="J67" s="713">
        <v>0</v>
      </c>
      <c r="K67" s="713">
        <v>0</v>
      </c>
      <c r="L67" s="713">
        <v>0</v>
      </c>
      <c r="M67" s="713">
        <v>0</v>
      </c>
      <c r="N67" s="713">
        <v>0</v>
      </c>
      <c r="O67" s="713">
        <v>0</v>
      </c>
      <c r="P67" s="573"/>
      <c r="Q67" s="573"/>
      <c r="R67" s="573">
        <v>0</v>
      </c>
      <c r="S67" s="424"/>
    </row>
    <row r="68" spans="1:19" x14ac:dyDescent="0.2">
      <c r="A68" s="420" t="s">
        <v>13</v>
      </c>
      <c r="B68" s="232" t="s">
        <v>63</v>
      </c>
      <c r="C68" s="558"/>
      <c r="D68" s="1043">
        <v>54334.9</v>
      </c>
      <c r="E68" s="713">
        <f t="shared" ref="E68" si="50">D68</f>
        <v>54334.9</v>
      </c>
      <c r="F68" s="713">
        <v>54334.9</v>
      </c>
      <c r="G68" s="713">
        <v>54334.9</v>
      </c>
      <c r="H68" s="713">
        <v>54334.9</v>
      </c>
      <c r="I68" s="713">
        <v>54334.9</v>
      </c>
      <c r="J68" s="713">
        <v>54334.9</v>
      </c>
      <c r="K68" s="713">
        <v>54334.9</v>
      </c>
      <c r="L68" s="713">
        <v>54334.9</v>
      </c>
      <c r="M68" s="713">
        <v>54334.9</v>
      </c>
      <c r="N68" s="713">
        <v>54334.9</v>
      </c>
      <c r="O68" s="713">
        <v>54334.9</v>
      </c>
      <c r="P68" s="573"/>
      <c r="Q68" s="573"/>
      <c r="R68" s="573">
        <v>54334.9</v>
      </c>
      <c r="S68" s="424"/>
    </row>
    <row r="69" spans="1:19" x14ac:dyDescent="0.2">
      <c r="A69" s="420" t="s">
        <v>15</v>
      </c>
      <c r="B69" s="232" t="s">
        <v>64</v>
      </c>
      <c r="C69" s="558"/>
      <c r="D69" s="713">
        <v>54335.1</v>
      </c>
      <c r="E69" s="713">
        <f t="shared" ref="E69" si="51">D69</f>
        <v>54335.1</v>
      </c>
      <c r="F69" s="713">
        <v>54335.1</v>
      </c>
      <c r="G69" s="713">
        <v>54335.1</v>
      </c>
      <c r="H69" s="713">
        <v>54335.1</v>
      </c>
      <c r="I69" s="713">
        <v>54335.1</v>
      </c>
      <c r="J69" s="713">
        <v>54335.1</v>
      </c>
      <c r="K69" s="713">
        <v>54335.1</v>
      </c>
      <c r="L69" s="713">
        <v>54335.1</v>
      </c>
      <c r="M69" s="713">
        <v>54335.1</v>
      </c>
      <c r="N69" s="713">
        <v>54335.1</v>
      </c>
      <c r="O69" s="713">
        <v>54335.1</v>
      </c>
      <c r="P69" s="573"/>
      <c r="Q69" s="573"/>
      <c r="R69" s="573">
        <v>54335.1</v>
      </c>
      <c r="S69" s="424"/>
    </row>
    <row r="70" spans="1:19" ht="31.5" x14ac:dyDescent="0.2">
      <c r="A70" s="113" t="s">
        <v>96</v>
      </c>
      <c r="B70" s="232" t="s">
        <v>67</v>
      </c>
      <c r="C70" s="1048">
        <f>C71+C72</f>
        <v>682986.89999999991</v>
      </c>
      <c r="D70" s="1048">
        <f t="shared" ref="D70:E70" si="52">D71+D72</f>
        <v>817072.49999999988</v>
      </c>
      <c r="E70" s="1048">
        <f t="shared" si="52"/>
        <v>817072.49999999988</v>
      </c>
      <c r="F70" s="1048">
        <v>817072.49999999988</v>
      </c>
      <c r="G70" s="1048">
        <v>817072.49999999988</v>
      </c>
      <c r="H70" s="1048">
        <v>817072.49999999988</v>
      </c>
      <c r="I70" s="1048">
        <v>817072.49999999988</v>
      </c>
      <c r="J70" s="1048">
        <v>817072.49999999988</v>
      </c>
      <c r="K70" s="1048">
        <v>817072.49999999988</v>
      </c>
      <c r="L70" s="1048">
        <v>817072.49999999988</v>
      </c>
      <c r="M70" s="1048">
        <v>817072.49999999988</v>
      </c>
      <c r="N70" s="1048">
        <v>817072.49999999988</v>
      </c>
      <c r="O70" s="1048">
        <v>817072.49999999988</v>
      </c>
      <c r="P70" s="1048">
        <v>388248.46538999997</v>
      </c>
      <c r="Q70" s="1050">
        <v>47.517015367669337</v>
      </c>
      <c r="R70" s="1048">
        <v>428824.03460999997</v>
      </c>
    </row>
    <row r="71" spans="1:19" x14ac:dyDescent="0.2">
      <c r="A71" s="420" t="s">
        <v>13</v>
      </c>
      <c r="B71" s="422" t="s">
        <v>63</v>
      </c>
      <c r="C71" s="1046">
        <f t="shared" ref="C71:E71" si="53">SUMIF($B$73:$B$92,"=01",C73:C92)</f>
        <v>503887.89999999997</v>
      </c>
      <c r="D71" s="1046">
        <f t="shared" si="53"/>
        <v>637973.49999999988</v>
      </c>
      <c r="E71" s="1046">
        <f t="shared" si="53"/>
        <v>637973.49999999988</v>
      </c>
      <c r="F71" s="1046">
        <v>637973.49999999988</v>
      </c>
      <c r="G71" s="1046">
        <v>637973.49999999988</v>
      </c>
      <c r="H71" s="1046">
        <v>637973.49999999988</v>
      </c>
      <c r="I71" s="1046">
        <v>637973.49999999988</v>
      </c>
      <c r="J71" s="1046">
        <v>637973.49999999988</v>
      </c>
      <c r="K71" s="1046">
        <v>637973.49999999988</v>
      </c>
      <c r="L71" s="1046">
        <v>637973.49999999988</v>
      </c>
      <c r="M71" s="1046">
        <v>637973.49999999988</v>
      </c>
      <c r="N71" s="1046">
        <v>637973.49999999988</v>
      </c>
      <c r="O71" s="1046">
        <v>637973.49999999988</v>
      </c>
      <c r="P71" s="1046">
        <v>236187.08153999998</v>
      </c>
      <c r="Q71" s="1046">
        <v>37.021456461749594</v>
      </c>
      <c r="R71" s="1046">
        <v>401786.41845999996</v>
      </c>
    </row>
    <row r="72" spans="1:19" x14ac:dyDescent="0.2">
      <c r="A72" s="420" t="s">
        <v>15</v>
      </c>
      <c r="B72" s="422" t="s">
        <v>64</v>
      </c>
      <c r="C72" s="1046">
        <f t="shared" ref="C72:E72" si="54">SUMIF($B$73:$B$92,"=02",C73:C92)</f>
        <v>179099</v>
      </c>
      <c r="D72" s="1046">
        <f t="shared" si="54"/>
        <v>179099</v>
      </c>
      <c r="E72" s="1046">
        <f t="shared" si="54"/>
        <v>179099</v>
      </c>
      <c r="F72" s="1046">
        <v>179099</v>
      </c>
      <c r="G72" s="1046">
        <v>179099</v>
      </c>
      <c r="H72" s="1046">
        <v>179099</v>
      </c>
      <c r="I72" s="1046">
        <v>179099</v>
      </c>
      <c r="J72" s="1046">
        <v>179099</v>
      </c>
      <c r="K72" s="1046">
        <v>179099</v>
      </c>
      <c r="L72" s="1046">
        <v>179099</v>
      </c>
      <c r="M72" s="1046">
        <v>179099</v>
      </c>
      <c r="N72" s="1046">
        <v>179099</v>
      </c>
      <c r="O72" s="1046">
        <v>179099</v>
      </c>
      <c r="P72" s="1046">
        <v>152061.38384999998</v>
      </c>
      <c r="Q72" s="1046">
        <v>84.903535949391113</v>
      </c>
      <c r="R72" s="1046">
        <v>27037.616150000002</v>
      </c>
    </row>
    <row r="73" spans="1:19" ht="51" customHeight="1" x14ac:dyDescent="0.2">
      <c r="A73" s="123" t="s">
        <v>339</v>
      </c>
      <c r="B73" s="232" t="s">
        <v>63</v>
      </c>
      <c r="C73" s="558">
        <v>21382</v>
      </c>
      <c r="D73" s="713">
        <f t="shared" ref="D73:E73" si="55">C73</f>
        <v>21382</v>
      </c>
      <c r="E73" s="713">
        <f t="shared" si="55"/>
        <v>21382</v>
      </c>
      <c r="F73" s="713">
        <v>21382</v>
      </c>
      <c r="G73" s="713">
        <v>21382</v>
      </c>
      <c r="H73" s="713">
        <v>21382</v>
      </c>
      <c r="I73" s="713">
        <v>21382</v>
      </c>
      <c r="J73" s="713">
        <v>21382</v>
      </c>
      <c r="K73" s="713">
        <v>21382</v>
      </c>
      <c r="L73" s="713">
        <v>21382</v>
      </c>
      <c r="M73" s="713">
        <v>21382</v>
      </c>
      <c r="N73" s="713">
        <v>21382</v>
      </c>
      <c r="O73" s="713">
        <v>21382</v>
      </c>
      <c r="P73" s="573">
        <v>6688.6305899999998</v>
      </c>
      <c r="Q73" s="573">
        <v>31.281594752595645</v>
      </c>
      <c r="R73" s="573">
        <v>14693.369409999999</v>
      </c>
    </row>
    <row r="74" spans="1:19" ht="64.5" customHeight="1" x14ac:dyDescent="0.2">
      <c r="A74" s="123" t="s">
        <v>97</v>
      </c>
      <c r="B74" s="232" t="s">
        <v>63</v>
      </c>
      <c r="C74" s="558">
        <v>70040</v>
      </c>
      <c r="D74" s="1043">
        <f>C74+24085.6</f>
        <v>94125.6</v>
      </c>
      <c r="E74" s="713">
        <f t="shared" ref="E74" si="56">D74</f>
        <v>94125.6</v>
      </c>
      <c r="F74" s="713">
        <v>94125.6</v>
      </c>
      <c r="G74" s="713">
        <v>94125.6</v>
      </c>
      <c r="H74" s="713">
        <v>94125.6</v>
      </c>
      <c r="I74" s="713">
        <v>94125.6</v>
      </c>
      <c r="J74" s="713">
        <v>94125.6</v>
      </c>
      <c r="K74" s="713">
        <v>94125.6</v>
      </c>
      <c r="L74" s="713">
        <v>94125.6</v>
      </c>
      <c r="M74" s="713">
        <v>94125.6</v>
      </c>
      <c r="N74" s="713">
        <v>94125.6</v>
      </c>
      <c r="O74" s="713">
        <v>94125.6</v>
      </c>
      <c r="P74" s="573">
        <v>93780</v>
      </c>
      <c r="Q74" s="573">
        <v>99.632831025778316</v>
      </c>
      <c r="R74" s="573">
        <v>345.60000000000582</v>
      </c>
    </row>
    <row r="75" spans="1:19" ht="78.75" x14ac:dyDescent="0.2">
      <c r="A75" s="123" t="s">
        <v>335</v>
      </c>
      <c r="B75" s="232" t="s">
        <v>63</v>
      </c>
      <c r="C75" s="558">
        <v>45494</v>
      </c>
      <c r="D75" s="713">
        <f t="shared" ref="D75:E75" si="57">C75</f>
        <v>45494</v>
      </c>
      <c r="E75" s="713">
        <f t="shared" si="57"/>
        <v>45494</v>
      </c>
      <c r="F75" s="713">
        <v>45494</v>
      </c>
      <c r="G75" s="713">
        <v>45494</v>
      </c>
      <c r="H75" s="713">
        <v>45494</v>
      </c>
      <c r="I75" s="713">
        <v>45494</v>
      </c>
      <c r="J75" s="713">
        <v>45494</v>
      </c>
      <c r="K75" s="713">
        <v>45494</v>
      </c>
      <c r="L75" s="713">
        <v>45494</v>
      </c>
      <c r="M75" s="713">
        <v>45494</v>
      </c>
      <c r="N75" s="713">
        <v>45494</v>
      </c>
      <c r="O75" s="713">
        <v>45494</v>
      </c>
      <c r="P75" s="573">
        <v>0</v>
      </c>
      <c r="Q75" s="573">
        <v>0</v>
      </c>
      <c r="R75" s="573">
        <v>45494</v>
      </c>
    </row>
    <row r="76" spans="1:19" ht="31.5" x14ac:dyDescent="0.2">
      <c r="A76" s="123" t="s">
        <v>336</v>
      </c>
      <c r="B76" s="232" t="s">
        <v>63</v>
      </c>
      <c r="C76" s="558">
        <v>70000</v>
      </c>
      <c r="D76" s="1043">
        <f>C76+50000</f>
        <v>120000</v>
      </c>
      <c r="E76" s="713">
        <f t="shared" ref="E76" si="58">D76</f>
        <v>120000</v>
      </c>
      <c r="F76" s="713">
        <v>120000</v>
      </c>
      <c r="G76" s="713">
        <v>120000</v>
      </c>
      <c r="H76" s="713">
        <v>120000</v>
      </c>
      <c r="I76" s="713">
        <v>120000</v>
      </c>
      <c r="J76" s="713">
        <v>120000</v>
      </c>
      <c r="K76" s="713">
        <v>120000</v>
      </c>
      <c r="L76" s="713">
        <v>120000</v>
      </c>
      <c r="M76" s="713">
        <v>120000</v>
      </c>
      <c r="N76" s="713">
        <v>120000</v>
      </c>
      <c r="O76" s="713">
        <v>120000</v>
      </c>
      <c r="P76" s="573">
        <v>0</v>
      </c>
      <c r="Q76" s="573">
        <v>0</v>
      </c>
      <c r="R76" s="573">
        <v>120000</v>
      </c>
    </row>
    <row r="77" spans="1:19" ht="47.25" x14ac:dyDescent="0.2">
      <c r="A77" s="123" t="s">
        <v>100</v>
      </c>
      <c r="B77" s="232" t="s">
        <v>63</v>
      </c>
      <c r="C77" s="558">
        <v>109946.7</v>
      </c>
      <c r="D77" s="1043">
        <f>C77+60000</f>
        <v>169946.7</v>
      </c>
      <c r="E77" s="713">
        <f t="shared" ref="E77" si="59">D77</f>
        <v>169946.7</v>
      </c>
      <c r="F77" s="713">
        <v>169946.7</v>
      </c>
      <c r="G77" s="713">
        <v>169946.7</v>
      </c>
      <c r="H77" s="713">
        <v>169946.7</v>
      </c>
      <c r="I77" s="713">
        <v>169946.7</v>
      </c>
      <c r="J77" s="713">
        <v>169946.7</v>
      </c>
      <c r="K77" s="713">
        <v>169946.7</v>
      </c>
      <c r="L77" s="713">
        <v>169946.7</v>
      </c>
      <c r="M77" s="713">
        <v>169946.7</v>
      </c>
      <c r="N77" s="713">
        <v>169946.7</v>
      </c>
      <c r="O77" s="713">
        <v>169946.7</v>
      </c>
      <c r="P77" s="573">
        <v>30604.243999999999</v>
      </c>
      <c r="Q77" s="573">
        <v>18.008142552929829</v>
      </c>
      <c r="R77" s="573">
        <v>139342.45600000001</v>
      </c>
    </row>
    <row r="78" spans="1:19" ht="31.5" x14ac:dyDescent="0.2">
      <c r="A78" s="123" t="s">
        <v>352</v>
      </c>
      <c r="B78" s="232" t="s">
        <v>63</v>
      </c>
      <c r="C78" s="558">
        <v>30000</v>
      </c>
      <c r="D78" s="713">
        <f t="shared" ref="D78:E78" si="60">C78</f>
        <v>30000</v>
      </c>
      <c r="E78" s="713">
        <f t="shared" si="60"/>
        <v>30000</v>
      </c>
      <c r="F78" s="713">
        <v>30000</v>
      </c>
      <c r="G78" s="713">
        <v>30000</v>
      </c>
      <c r="H78" s="713">
        <v>30000</v>
      </c>
      <c r="I78" s="713">
        <v>30000</v>
      </c>
      <c r="J78" s="713">
        <v>30000</v>
      </c>
      <c r="K78" s="713">
        <v>30000</v>
      </c>
      <c r="L78" s="713">
        <v>30000</v>
      </c>
      <c r="M78" s="713">
        <v>30000</v>
      </c>
      <c r="N78" s="713">
        <v>30000</v>
      </c>
      <c r="O78" s="713">
        <v>30000</v>
      </c>
      <c r="P78" s="573">
        <v>0</v>
      </c>
      <c r="Q78" s="573">
        <v>0</v>
      </c>
      <c r="R78" s="573">
        <v>30000</v>
      </c>
    </row>
    <row r="79" spans="1:19" ht="31.5" x14ac:dyDescent="0.2">
      <c r="A79" s="123" t="s">
        <v>102</v>
      </c>
      <c r="B79" s="232" t="s">
        <v>63</v>
      </c>
      <c r="C79" s="558">
        <v>9000</v>
      </c>
      <c r="D79" s="713">
        <f t="shared" ref="D79:E79" si="61">C79</f>
        <v>9000</v>
      </c>
      <c r="E79" s="713">
        <f t="shared" si="61"/>
        <v>9000</v>
      </c>
      <c r="F79" s="713">
        <v>9000</v>
      </c>
      <c r="G79" s="713">
        <v>9000</v>
      </c>
      <c r="H79" s="713">
        <v>9000</v>
      </c>
      <c r="I79" s="713">
        <v>9000</v>
      </c>
      <c r="J79" s="713">
        <v>9000</v>
      </c>
      <c r="K79" s="713">
        <v>9000</v>
      </c>
      <c r="L79" s="713">
        <v>9000</v>
      </c>
      <c r="M79" s="713">
        <v>9000</v>
      </c>
      <c r="N79" s="713">
        <v>9000</v>
      </c>
      <c r="O79" s="713">
        <v>9000</v>
      </c>
      <c r="P79" s="573">
        <v>0</v>
      </c>
      <c r="Q79" s="573">
        <v>0</v>
      </c>
      <c r="R79" s="573">
        <v>9000</v>
      </c>
    </row>
    <row r="80" spans="1:19" ht="100.5" customHeight="1" x14ac:dyDescent="0.2">
      <c r="A80" s="123" t="s">
        <v>459</v>
      </c>
      <c r="B80" s="232" t="s">
        <v>63</v>
      </c>
      <c r="C80" s="558">
        <v>1736.6</v>
      </c>
      <c r="D80" s="713">
        <f t="shared" ref="D80:E80" si="62">C80</f>
        <v>1736.6</v>
      </c>
      <c r="E80" s="713">
        <f t="shared" si="62"/>
        <v>1736.6</v>
      </c>
      <c r="F80" s="713">
        <v>1736.6</v>
      </c>
      <c r="G80" s="713">
        <v>1736.6</v>
      </c>
      <c r="H80" s="713">
        <v>1736.6</v>
      </c>
      <c r="I80" s="713">
        <v>1736.6</v>
      </c>
      <c r="J80" s="713">
        <v>1736.6</v>
      </c>
      <c r="K80" s="713">
        <v>1736.6</v>
      </c>
      <c r="L80" s="713">
        <v>1736.6</v>
      </c>
      <c r="M80" s="713">
        <v>1736.6</v>
      </c>
      <c r="N80" s="713">
        <v>1736.6</v>
      </c>
      <c r="O80" s="713">
        <v>1736.6</v>
      </c>
      <c r="P80" s="573">
        <v>59.058900000000001</v>
      </c>
      <c r="Q80" s="573">
        <v>3.4008349648738916</v>
      </c>
      <c r="R80" s="573">
        <v>1677.5410999999999</v>
      </c>
    </row>
    <row r="81" spans="1:18" ht="63" x14ac:dyDescent="0.2">
      <c r="A81" s="122" t="s">
        <v>297</v>
      </c>
      <c r="B81" s="232"/>
      <c r="C81" s="558"/>
      <c r="D81" s="713">
        <f t="shared" ref="D81:E81" si="63">C81</f>
        <v>0</v>
      </c>
      <c r="E81" s="713">
        <f t="shared" si="63"/>
        <v>0</v>
      </c>
      <c r="F81" s="713">
        <v>0</v>
      </c>
      <c r="G81" s="713">
        <v>0</v>
      </c>
      <c r="H81" s="713">
        <v>0</v>
      </c>
      <c r="I81" s="713">
        <v>0</v>
      </c>
      <c r="J81" s="713">
        <v>0</v>
      </c>
      <c r="K81" s="713">
        <v>0</v>
      </c>
      <c r="L81" s="713">
        <v>0</v>
      </c>
      <c r="M81" s="713">
        <v>0</v>
      </c>
      <c r="N81" s="713">
        <v>0</v>
      </c>
      <c r="O81" s="713">
        <v>0</v>
      </c>
      <c r="P81" s="573"/>
      <c r="Q81" s="573"/>
      <c r="R81" s="573">
        <v>0</v>
      </c>
    </row>
    <row r="82" spans="1:18" x14ac:dyDescent="0.2">
      <c r="A82" s="420" t="s">
        <v>13</v>
      </c>
      <c r="B82" s="232" t="s">
        <v>63</v>
      </c>
      <c r="C82" s="558">
        <v>26100</v>
      </c>
      <c r="D82" s="713">
        <f t="shared" ref="D82:E82" si="64">C82</f>
        <v>26100</v>
      </c>
      <c r="E82" s="713">
        <f t="shared" si="64"/>
        <v>26100</v>
      </c>
      <c r="F82" s="713">
        <v>26100</v>
      </c>
      <c r="G82" s="713">
        <v>26100</v>
      </c>
      <c r="H82" s="713">
        <v>26100</v>
      </c>
      <c r="I82" s="713">
        <v>26100</v>
      </c>
      <c r="J82" s="713">
        <v>26100</v>
      </c>
      <c r="K82" s="713">
        <v>26100</v>
      </c>
      <c r="L82" s="713">
        <v>26100</v>
      </c>
      <c r="M82" s="713">
        <v>26100</v>
      </c>
      <c r="N82" s="713">
        <v>26100</v>
      </c>
      <c r="O82" s="713">
        <v>26100</v>
      </c>
      <c r="P82" s="573">
        <v>26100</v>
      </c>
      <c r="Q82" s="573">
        <v>100</v>
      </c>
      <c r="R82" s="573">
        <v>0</v>
      </c>
    </row>
    <row r="83" spans="1:18" x14ac:dyDescent="0.2">
      <c r="A83" s="420" t="s">
        <v>15</v>
      </c>
      <c r="B83" s="232" t="s">
        <v>64</v>
      </c>
      <c r="C83" s="558">
        <v>63900</v>
      </c>
      <c r="D83" s="713">
        <f t="shared" ref="D83:E83" si="65">C83</f>
        <v>63900</v>
      </c>
      <c r="E83" s="713">
        <f t="shared" si="65"/>
        <v>63900</v>
      </c>
      <c r="F83" s="713">
        <v>63900</v>
      </c>
      <c r="G83" s="713">
        <v>63900</v>
      </c>
      <c r="H83" s="713">
        <v>63900</v>
      </c>
      <c r="I83" s="713">
        <v>63900</v>
      </c>
      <c r="J83" s="713">
        <v>63900</v>
      </c>
      <c r="K83" s="713">
        <v>63900</v>
      </c>
      <c r="L83" s="713">
        <v>63900</v>
      </c>
      <c r="M83" s="713">
        <v>63900</v>
      </c>
      <c r="N83" s="713">
        <v>63900</v>
      </c>
      <c r="O83" s="713">
        <v>63900</v>
      </c>
      <c r="P83" s="573">
        <v>63900</v>
      </c>
      <c r="Q83" s="573">
        <v>100</v>
      </c>
      <c r="R83" s="573">
        <v>0</v>
      </c>
    </row>
    <row r="84" spans="1:18" ht="47.25" customHeight="1" x14ac:dyDescent="0.2">
      <c r="A84" s="122" t="s">
        <v>35</v>
      </c>
      <c r="B84" s="232"/>
      <c r="C84" s="558"/>
      <c r="D84" s="713">
        <f t="shared" ref="D84:E84" si="66">C84</f>
        <v>0</v>
      </c>
      <c r="E84" s="713">
        <f t="shared" si="66"/>
        <v>0</v>
      </c>
      <c r="F84" s="713">
        <v>0</v>
      </c>
      <c r="G84" s="713">
        <v>0</v>
      </c>
      <c r="H84" s="713">
        <v>0</v>
      </c>
      <c r="I84" s="713">
        <v>0</v>
      </c>
      <c r="J84" s="713">
        <v>0</v>
      </c>
      <c r="K84" s="713">
        <v>0</v>
      </c>
      <c r="L84" s="713">
        <v>0</v>
      </c>
      <c r="M84" s="713">
        <v>0</v>
      </c>
      <c r="N84" s="713">
        <v>0</v>
      </c>
      <c r="O84" s="713">
        <v>0</v>
      </c>
      <c r="P84" s="573"/>
      <c r="Q84" s="573"/>
      <c r="R84" s="573">
        <v>0</v>
      </c>
    </row>
    <row r="85" spans="1:18" ht="15.75" customHeight="1" x14ac:dyDescent="0.2">
      <c r="A85" s="420" t="s">
        <v>13</v>
      </c>
      <c r="B85" s="232" t="s">
        <v>63</v>
      </c>
      <c r="C85" s="558">
        <v>20300</v>
      </c>
      <c r="D85" s="713">
        <f t="shared" ref="D85:E85" si="67">C85</f>
        <v>20300</v>
      </c>
      <c r="E85" s="713">
        <f t="shared" si="67"/>
        <v>20300</v>
      </c>
      <c r="F85" s="713">
        <v>20300</v>
      </c>
      <c r="G85" s="713">
        <v>20300</v>
      </c>
      <c r="H85" s="713">
        <v>20300</v>
      </c>
      <c r="I85" s="713">
        <v>20300</v>
      </c>
      <c r="J85" s="713">
        <v>20300</v>
      </c>
      <c r="K85" s="713">
        <v>20300</v>
      </c>
      <c r="L85" s="713">
        <v>20300</v>
      </c>
      <c r="M85" s="713">
        <v>20300</v>
      </c>
      <c r="N85" s="713">
        <v>20300</v>
      </c>
      <c r="O85" s="713">
        <v>20300</v>
      </c>
      <c r="P85" s="573">
        <v>20300</v>
      </c>
      <c r="Q85" s="573">
        <v>100</v>
      </c>
      <c r="R85" s="573">
        <v>0</v>
      </c>
    </row>
    <row r="86" spans="1:18" ht="15.75" customHeight="1" x14ac:dyDescent="0.2">
      <c r="A86" s="420" t="s">
        <v>15</v>
      </c>
      <c r="B86" s="232" t="s">
        <v>64</v>
      </c>
      <c r="C86" s="558">
        <v>49700</v>
      </c>
      <c r="D86" s="713">
        <f t="shared" ref="D86:E86" si="68">C86</f>
        <v>49700</v>
      </c>
      <c r="E86" s="713">
        <f t="shared" si="68"/>
        <v>49700</v>
      </c>
      <c r="F86" s="713">
        <v>49700</v>
      </c>
      <c r="G86" s="713">
        <v>49700</v>
      </c>
      <c r="H86" s="713">
        <v>49700</v>
      </c>
      <c r="I86" s="713">
        <v>49700</v>
      </c>
      <c r="J86" s="713">
        <v>49700</v>
      </c>
      <c r="K86" s="713">
        <v>49700</v>
      </c>
      <c r="L86" s="713">
        <v>49700</v>
      </c>
      <c r="M86" s="713">
        <v>49700</v>
      </c>
      <c r="N86" s="713">
        <v>49700</v>
      </c>
      <c r="O86" s="713">
        <v>49700</v>
      </c>
      <c r="P86" s="573">
        <v>49700</v>
      </c>
      <c r="Q86" s="573">
        <v>100</v>
      </c>
      <c r="R86" s="573">
        <v>0</v>
      </c>
    </row>
    <row r="87" spans="1:18" ht="78.75" x14ac:dyDescent="0.2">
      <c r="A87" s="123" t="s">
        <v>338</v>
      </c>
      <c r="B87" s="232"/>
      <c r="C87" s="558"/>
      <c r="D87" s="713">
        <f t="shared" ref="D87:E87" si="69">C87</f>
        <v>0</v>
      </c>
      <c r="E87" s="713">
        <f t="shared" si="69"/>
        <v>0</v>
      </c>
      <c r="F87" s="713">
        <v>0</v>
      </c>
      <c r="G87" s="713">
        <v>0</v>
      </c>
      <c r="H87" s="713">
        <v>0</v>
      </c>
      <c r="I87" s="713">
        <v>0</v>
      </c>
      <c r="J87" s="713">
        <v>0</v>
      </c>
      <c r="K87" s="713">
        <v>0</v>
      </c>
      <c r="L87" s="713">
        <v>0</v>
      </c>
      <c r="M87" s="713">
        <v>0</v>
      </c>
      <c r="N87" s="713">
        <v>0</v>
      </c>
      <c r="O87" s="713">
        <v>0</v>
      </c>
      <c r="P87" s="573"/>
      <c r="Q87" s="573"/>
      <c r="R87" s="573">
        <v>0</v>
      </c>
    </row>
    <row r="88" spans="1:18" ht="15.75" customHeight="1" x14ac:dyDescent="0.2">
      <c r="A88" s="420" t="s">
        <v>13</v>
      </c>
      <c r="B88" s="232" t="s">
        <v>63</v>
      </c>
      <c r="C88" s="558">
        <v>54357</v>
      </c>
      <c r="D88" s="713">
        <f t="shared" ref="D88:E88" si="70">C88</f>
        <v>54357</v>
      </c>
      <c r="E88" s="713">
        <f t="shared" si="70"/>
        <v>54357</v>
      </c>
      <c r="F88" s="713">
        <v>54357</v>
      </c>
      <c r="G88" s="713">
        <v>54357</v>
      </c>
      <c r="H88" s="713">
        <v>54357</v>
      </c>
      <c r="I88" s="713">
        <v>54357</v>
      </c>
      <c r="J88" s="713">
        <v>54357</v>
      </c>
      <c r="K88" s="713">
        <v>54357</v>
      </c>
      <c r="L88" s="713">
        <v>54357</v>
      </c>
      <c r="M88" s="713">
        <v>54357</v>
      </c>
      <c r="N88" s="713">
        <v>54357</v>
      </c>
      <c r="O88" s="713">
        <v>54357</v>
      </c>
      <c r="P88" s="573">
        <v>40737.551670000001</v>
      </c>
      <c r="Q88" s="573">
        <v>74.944444450576739</v>
      </c>
      <c r="R88" s="573">
        <v>13619.448329999999</v>
      </c>
    </row>
    <row r="89" spans="1:18" x14ac:dyDescent="0.2">
      <c r="A89" s="420" t="s">
        <v>15</v>
      </c>
      <c r="B89" s="232" t="s">
        <v>64</v>
      </c>
      <c r="C89" s="558">
        <v>35643</v>
      </c>
      <c r="D89" s="713">
        <f t="shared" ref="D89:E89" si="71">C89</f>
        <v>35643</v>
      </c>
      <c r="E89" s="713">
        <f t="shared" si="71"/>
        <v>35643</v>
      </c>
      <c r="F89" s="713">
        <v>35643</v>
      </c>
      <c r="G89" s="713">
        <v>35643</v>
      </c>
      <c r="H89" s="713">
        <v>35643</v>
      </c>
      <c r="I89" s="713">
        <v>35643</v>
      </c>
      <c r="J89" s="713">
        <v>35643</v>
      </c>
      <c r="K89" s="713">
        <v>35643</v>
      </c>
      <c r="L89" s="713">
        <v>35643</v>
      </c>
      <c r="M89" s="713">
        <v>35643</v>
      </c>
      <c r="N89" s="713">
        <v>35643</v>
      </c>
      <c r="O89" s="713">
        <v>35643</v>
      </c>
      <c r="P89" s="573">
        <v>26712.448329999999</v>
      </c>
      <c r="Q89" s="573">
        <v>74.944444435092436</v>
      </c>
      <c r="R89" s="573">
        <v>8930.5516700000007</v>
      </c>
    </row>
    <row r="90" spans="1:18" ht="31.5" x14ac:dyDescent="0.2">
      <c r="A90" s="122" t="s">
        <v>45</v>
      </c>
      <c r="B90" s="232"/>
      <c r="C90" s="558"/>
      <c r="D90" s="713">
        <f t="shared" ref="D90:E90" si="72">C90</f>
        <v>0</v>
      </c>
      <c r="E90" s="713">
        <f t="shared" si="72"/>
        <v>0</v>
      </c>
      <c r="F90" s="713">
        <v>0</v>
      </c>
      <c r="G90" s="713">
        <v>0</v>
      </c>
      <c r="H90" s="713">
        <v>0</v>
      </c>
      <c r="I90" s="713">
        <v>0</v>
      </c>
      <c r="J90" s="713">
        <v>0</v>
      </c>
      <c r="K90" s="713">
        <v>0</v>
      </c>
      <c r="L90" s="713">
        <v>0</v>
      </c>
      <c r="M90" s="713">
        <v>0</v>
      </c>
      <c r="N90" s="713">
        <v>0</v>
      </c>
      <c r="O90" s="713">
        <v>0</v>
      </c>
      <c r="P90" s="573"/>
      <c r="Q90" s="573"/>
      <c r="R90" s="573">
        <v>0</v>
      </c>
    </row>
    <row r="91" spans="1:18" x14ac:dyDescent="0.2">
      <c r="A91" s="420" t="s">
        <v>13</v>
      </c>
      <c r="B91" s="232" t="s">
        <v>63</v>
      </c>
      <c r="C91" s="558">
        <v>45531.6</v>
      </c>
      <c r="D91" s="713">
        <f t="shared" ref="D91:E91" si="73">C91</f>
        <v>45531.6</v>
      </c>
      <c r="E91" s="713">
        <f t="shared" si="73"/>
        <v>45531.6</v>
      </c>
      <c r="F91" s="713">
        <v>45531.6</v>
      </c>
      <c r="G91" s="713">
        <v>45531.6</v>
      </c>
      <c r="H91" s="713">
        <v>45531.6</v>
      </c>
      <c r="I91" s="713">
        <v>45531.6</v>
      </c>
      <c r="J91" s="713">
        <v>45531.6</v>
      </c>
      <c r="K91" s="713">
        <v>45531.6</v>
      </c>
      <c r="L91" s="713">
        <v>45531.6</v>
      </c>
      <c r="M91" s="713">
        <v>45531.6</v>
      </c>
      <c r="N91" s="713">
        <v>45531.6</v>
      </c>
      <c r="O91" s="713">
        <v>45531.6</v>
      </c>
      <c r="P91" s="573">
        <v>17917.596379999999</v>
      </c>
      <c r="Q91" s="573">
        <v>39.352002521325844</v>
      </c>
      <c r="R91" s="573">
        <v>27614.00362</v>
      </c>
    </row>
    <row r="92" spans="1:18" x14ac:dyDescent="0.2">
      <c r="A92" s="420" t="s">
        <v>15</v>
      </c>
      <c r="B92" s="232" t="s">
        <v>64</v>
      </c>
      <c r="C92" s="558">
        <v>29856</v>
      </c>
      <c r="D92" s="713">
        <f t="shared" ref="D92:E92" si="74">C92</f>
        <v>29856</v>
      </c>
      <c r="E92" s="713">
        <f t="shared" si="74"/>
        <v>29856</v>
      </c>
      <c r="F92" s="713">
        <v>29856</v>
      </c>
      <c r="G92" s="713">
        <v>29856</v>
      </c>
      <c r="H92" s="713">
        <v>29856</v>
      </c>
      <c r="I92" s="713">
        <v>29856</v>
      </c>
      <c r="J92" s="713">
        <v>29856</v>
      </c>
      <c r="K92" s="713">
        <v>29856</v>
      </c>
      <c r="L92" s="713">
        <v>29856</v>
      </c>
      <c r="M92" s="713">
        <v>29856</v>
      </c>
      <c r="N92" s="713">
        <v>29856</v>
      </c>
      <c r="O92" s="713">
        <v>29856</v>
      </c>
      <c r="P92" s="573">
        <v>11748.935519999999</v>
      </c>
      <c r="Q92" s="573">
        <v>39.352008038585204</v>
      </c>
      <c r="R92" s="573">
        <v>18107.064480000001</v>
      </c>
    </row>
    <row r="93" spans="1:18" s="115" customFormat="1" ht="31.5" x14ac:dyDescent="0.2">
      <c r="A93" s="113" t="s">
        <v>107</v>
      </c>
      <c r="B93" s="422" t="s">
        <v>63</v>
      </c>
      <c r="C93" s="1048">
        <f>C94</f>
        <v>89126.9</v>
      </c>
      <c r="D93" s="1048">
        <f t="shared" ref="D93:E93" si="75">D94</f>
        <v>119126.9</v>
      </c>
      <c r="E93" s="1048">
        <f t="shared" si="75"/>
        <v>119126.9</v>
      </c>
      <c r="F93" s="1048">
        <v>119126.9</v>
      </c>
      <c r="G93" s="1048">
        <v>119126.9</v>
      </c>
      <c r="H93" s="1048">
        <v>119126.9</v>
      </c>
      <c r="I93" s="1048">
        <v>119126.9</v>
      </c>
      <c r="J93" s="1048">
        <v>119126.9</v>
      </c>
      <c r="K93" s="1048">
        <v>119126.9</v>
      </c>
      <c r="L93" s="1048">
        <v>119126.9</v>
      </c>
      <c r="M93" s="1048">
        <v>119126.9</v>
      </c>
      <c r="N93" s="1048">
        <v>119126.9</v>
      </c>
      <c r="O93" s="1048">
        <v>119126.9</v>
      </c>
      <c r="P93" s="1048">
        <v>19649.3</v>
      </c>
      <c r="Q93" s="1050">
        <v>16.494427371147911</v>
      </c>
      <c r="R93" s="1048">
        <v>99477.6</v>
      </c>
    </row>
    <row r="94" spans="1:18" s="115" customFormat="1" x14ac:dyDescent="0.2">
      <c r="A94" s="420" t="s">
        <v>13</v>
      </c>
      <c r="B94" s="422" t="s">
        <v>63</v>
      </c>
      <c r="C94" s="1046">
        <f t="shared" ref="C94:E94" si="76">SUMIF($B$95:$B$96,"=01",C95:C96)</f>
        <v>89126.9</v>
      </c>
      <c r="D94" s="1046">
        <f t="shared" si="76"/>
        <v>119126.9</v>
      </c>
      <c r="E94" s="1046">
        <f t="shared" si="76"/>
        <v>119126.9</v>
      </c>
      <c r="F94" s="1046">
        <v>119126.9</v>
      </c>
      <c r="G94" s="1046">
        <v>119126.9</v>
      </c>
      <c r="H94" s="1046">
        <v>119126.9</v>
      </c>
      <c r="I94" s="1046">
        <v>119126.9</v>
      </c>
      <c r="J94" s="1046">
        <v>119126.9</v>
      </c>
      <c r="K94" s="1046">
        <v>119126.9</v>
      </c>
      <c r="L94" s="1046">
        <v>119126.9</v>
      </c>
      <c r="M94" s="1046">
        <v>119126.9</v>
      </c>
      <c r="N94" s="1046">
        <v>119126.9</v>
      </c>
      <c r="O94" s="1046">
        <v>119126.9</v>
      </c>
      <c r="P94" s="1046">
        <v>19649.3</v>
      </c>
      <c r="Q94" s="1046">
        <v>16.494427371147911</v>
      </c>
      <c r="R94" s="1046">
        <v>99477.6</v>
      </c>
    </row>
    <row r="95" spans="1:18" ht="63" x14ac:dyDescent="0.2">
      <c r="A95" s="122" t="s">
        <v>108</v>
      </c>
      <c r="B95" s="232" t="s">
        <v>63</v>
      </c>
      <c r="C95" s="558">
        <v>66000</v>
      </c>
      <c r="D95" s="713">
        <f t="shared" ref="D95:E96" si="77">C95</f>
        <v>66000</v>
      </c>
      <c r="E95" s="713">
        <f t="shared" si="77"/>
        <v>66000</v>
      </c>
      <c r="F95" s="713">
        <v>66000</v>
      </c>
      <c r="G95" s="713">
        <v>66000</v>
      </c>
      <c r="H95" s="713">
        <v>66000</v>
      </c>
      <c r="I95" s="713">
        <v>66000</v>
      </c>
      <c r="J95" s="713">
        <v>66000</v>
      </c>
      <c r="K95" s="713">
        <v>66000</v>
      </c>
      <c r="L95" s="713">
        <v>66000</v>
      </c>
      <c r="M95" s="713">
        <v>66000</v>
      </c>
      <c r="N95" s="713">
        <v>66000</v>
      </c>
      <c r="O95" s="713">
        <v>66000</v>
      </c>
      <c r="P95" s="573">
        <v>14998.6</v>
      </c>
      <c r="Q95" s="573">
        <v>22.725151515151516</v>
      </c>
      <c r="R95" s="573">
        <v>51001.4</v>
      </c>
    </row>
    <row r="96" spans="1:18" ht="78.75" x14ac:dyDescent="0.2">
      <c r="A96" s="1033" t="s">
        <v>109</v>
      </c>
      <c r="B96" s="232" t="s">
        <v>63</v>
      </c>
      <c r="C96" s="558">
        <v>23126.9</v>
      </c>
      <c r="D96" s="1043">
        <f>C96+30000</f>
        <v>53126.9</v>
      </c>
      <c r="E96" s="713">
        <f t="shared" si="77"/>
        <v>53126.9</v>
      </c>
      <c r="F96" s="713">
        <v>53126.9</v>
      </c>
      <c r="G96" s="713">
        <v>53126.9</v>
      </c>
      <c r="H96" s="713">
        <v>53126.9</v>
      </c>
      <c r="I96" s="713">
        <v>53126.9</v>
      </c>
      <c r="J96" s="713">
        <v>53126.9</v>
      </c>
      <c r="K96" s="713">
        <v>53126.9</v>
      </c>
      <c r="L96" s="713">
        <v>53126.9</v>
      </c>
      <c r="M96" s="713">
        <v>53126.9</v>
      </c>
      <c r="N96" s="713">
        <v>53126.9</v>
      </c>
      <c r="O96" s="713">
        <v>53126.9</v>
      </c>
      <c r="P96" s="573">
        <v>4650.7</v>
      </c>
      <c r="Q96" s="573">
        <v>8.7539457412346664</v>
      </c>
      <c r="R96" s="573">
        <v>48476.200000000004</v>
      </c>
    </row>
    <row r="97" spans="1:19" s="115" customFormat="1" ht="31.5" x14ac:dyDescent="0.2">
      <c r="A97" s="113" t="s">
        <v>110</v>
      </c>
      <c r="B97" s="232" t="s">
        <v>67</v>
      </c>
      <c r="C97" s="1048">
        <f>C98+C99</f>
        <v>644088.9</v>
      </c>
      <c r="D97" s="1048">
        <f t="shared" ref="D97:E97" si="78">D98+D99</f>
        <v>612389.30000000005</v>
      </c>
      <c r="E97" s="1048">
        <f t="shared" si="78"/>
        <v>612389.30000000005</v>
      </c>
      <c r="F97" s="1048">
        <v>612389.30000000005</v>
      </c>
      <c r="G97" s="1048">
        <v>612389.30000000005</v>
      </c>
      <c r="H97" s="1048">
        <v>612389.30000000005</v>
      </c>
      <c r="I97" s="1048">
        <v>612389.30000000005</v>
      </c>
      <c r="J97" s="1048">
        <v>612389.30000000005</v>
      </c>
      <c r="K97" s="1048">
        <v>612389.30000000005</v>
      </c>
      <c r="L97" s="1048">
        <v>612389.30000000005</v>
      </c>
      <c r="M97" s="1048">
        <v>612389.30000000005</v>
      </c>
      <c r="N97" s="1048">
        <v>612389.30000000005</v>
      </c>
      <c r="O97" s="1048">
        <v>612389.30000000005</v>
      </c>
      <c r="P97" s="1048">
        <v>145440.77285000004</v>
      </c>
      <c r="Q97" s="1050">
        <v>46.968728268235218</v>
      </c>
      <c r="R97" s="1048">
        <v>466948.52715000004</v>
      </c>
    </row>
    <row r="98" spans="1:19" s="115" customFormat="1" x14ac:dyDescent="0.2">
      <c r="A98" s="420" t="s">
        <v>13</v>
      </c>
      <c r="B98" s="422" t="s">
        <v>63</v>
      </c>
      <c r="C98" s="1046">
        <f t="shared" ref="C98:E98" si="79">SUMIF($B$100:$B$113,"=01",C100:C113)</f>
        <v>616116.1</v>
      </c>
      <c r="D98" s="1046">
        <f t="shared" si="79"/>
        <v>584416.5</v>
      </c>
      <c r="E98" s="1046">
        <f t="shared" si="79"/>
        <v>584416.5</v>
      </c>
      <c r="F98" s="1046">
        <v>584416.5</v>
      </c>
      <c r="G98" s="1046">
        <v>584416.5</v>
      </c>
      <c r="H98" s="1046">
        <v>584416.5</v>
      </c>
      <c r="I98" s="1046">
        <v>584416.5</v>
      </c>
      <c r="J98" s="1046">
        <v>584416.5</v>
      </c>
      <c r="K98" s="1046">
        <v>584416.5</v>
      </c>
      <c r="L98" s="1046">
        <v>584416.5</v>
      </c>
      <c r="M98" s="1046">
        <v>584416.5</v>
      </c>
      <c r="N98" s="1046">
        <v>584416.5</v>
      </c>
      <c r="O98" s="1046">
        <v>584416.5</v>
      </c>
      <c r="P98" s="1046">
        <v>117640.37650000003</v>
      </c>
      <c r="Q98" s="1046">
        <v>41.727960361535708</v>
      </c>
      <c r="R98" s="1046">
        <v>466776.12350000005</v>
      </c>
    </row>
    <row r="99" spans="1:19" s="115" customFormat="1" x14ac:dyDescent="0.2">
      <c r="A99" s="420" t="s">
        <v>15</v>
      </c>
      <c r="B99" s="422" t="s">
        <v>64</v>
      </c>
      <c r="C99" s="1046">
        <f t="shared" ref="C99:E99" si="80">SUMIF($B$100:$B$113,"=02",C100:C113)</f>
        <v>27972.799999999999</v>
      </c>
      <c r="D99" s="1046">
        <f t="shared" si="80"/>
        <v>27972.799999999999</v>
      </c>
      <c r="E99" s="1046">
        <f t="shared" si="80"/>
        <v>27972.799999999999</v>
      </c>
      <c r="F99" s="1046">
        <v>27972.799999999999</v>
      </c>
      <c r="G99" s="1046">
        <v>27972.799999999999</v>
      </c>
      <c r="H99" s="1046">
        <v>27972.799999999999</v>
      </c>
      <c r="I99" s="1046">
        <v>27972.799999999999</v>
      </c>
      <c r="J99" s="1046">
        <v>27972.799999999999</v>
      </c>
      <c r="K99" s="1046">
        <v>27972.799999999999</v>
      </c>
      <c r="L99" s="713">
        <v>27972.799999999999</v>
      </c>
      <c r="M99" s="1046">
        <v>27972.799999999999</v>
      </c>
      <c r="N99" s="1046">
        <v>27972.799999999999</v>
      </c>
      <c r="O99" s="1046">
        <v>27972.799999999999</v>
      </c>
      <c r="P99" s="1046">
        <v>27800.396349999999</v>
      </c>
      <c r="Q99" s="1046">
        <v>99.816029464336793</v>
      </c>
      <c r="R99" s="1046">
        <v>172.4036500000002</v>
      </c>
    </row>
    <row r="100" spans="1:19" ht="47.25" hidden="1" x14ac:dyDescent="0.2">
      <c r="A100" s="927" t="s">
        <v>684</v>
      </c>
      <c r="B100" s="425" t="s">
        <v>63</v>
      </c>
      <c r="C100" s="558"/>
      <c r="D100" s="713"/>
      <c r="E100" s="713"/>
      <c r="F100" s="713"/>
      <c r="G100" s="1045"/>
      <c r="H100" s="713">
        <v>0</v>
      </c>
      <c r="I100" s="713">
        <v>0</v>
      </c>
      <c r="J100" s="713">
        <v>0</v>
      </c>
      <c r="K100" s="713">
        <v>0</v>
      </c>
      <c r="L100" s="713">
        <v>0</v>
      </c>
      <c r="M100" s="713">
        <v>0</v>
      </c>
      <c r="N100" s="713">
        <v>0</v>
      </c>
      <c r="O100" s="713">
        <v>0</v>
      </c>
      <c r="P100" s="573"/>
      <c r="Q100" s="573"/>
      <c r="R100" s="573">
        <v>0</v>
      </c>
    </row>
    <row r="101" spans="1:19" ht="31.5" x14ac:dyDescent="0.2">
      <c r="A101" s="1029" t="s">
        <v>313</v>
      </c>
      <c r="B101" s="242" t="s">
        <v>63</v>
      </c>
      <c r="C101" s="558">
        <v>4289.3</v>
      </c>
      <c r="D101" s="713">
        <f t="shared" ref="D101:E101" si="81">C101</f>
        <v>4289.3</v>
      </c>
      <c r="E101" s="713">
        <f t="shared" si="81"/>
        <v>4289.3</v>
      </c>
      <c r="F101" s="713">
        <v>4289.3</v>
      </c>
      <c r="G101" s="713">
        <v>4289.3</v>
      </c>
      <c r="H101" s="713">
        <v>4289.3</v>
      </c>
      <c r="I101" s="713">
        <v>4289.3</v>
      </c>
      <c r="J101" s="713">
        <v>4289.3</v>
      </c>
      <c r="K101" s="713">
        <v>4289.3</v>
      </c>
      <c r="L101" s="713">
        <v>4289.3</v>
      </c>
      <c r="M101" s="713">
        <v>4289.3</v>
      </c>
      <c r="N101" s="713">
        <v>4289.3</v>
      </c>
      <c r="O101" s="713">
        <v>4289.3</v>
      </c>
      <c r="P101" s="573">
        <v>1027.4199900000001</v>
      </c>
      <c r="Q101" s="573">
        <v>23.953092346070456</v>
      </c>
      <c r="R101" s="573">
        <v>3261.8800099999999</v>
      </c>
    </row>
    <row r="102" spans="1:19" ht="113.25" customHeight="1" x14ac:dyDescent="0.2">
      <c r="A102" s="126" t="s">
        <v>298</v>
      </c>
      <c r="B102" s="425" t="s">
        <v>63</v>
      </c>
      <c r="C102" s="558">
        <v>409301.4</v>
      </c>
      <c r="D102" s="1043">
        <f>C102-41212.8</f>
        <v>368088.60000000003</v>
      </c>
      <c r="E102" s="713">
        <f t="shared" ref="E102" si="82">D102</f>
        <v>368088.60000000003</v>
      </c>
      <c r="F102" s="713">
        <v>368088.60000000003</v>
      </c>
      <c r="G102" s="1045">
        <v>368088.60000000003</v>
      </c>
      <c r="H102" s="713">
        <v>368088.60000000003</v>
      </c>
      <c r="I102" s="713">
        <v>368088.60000000003</v>
      </c>
      <c r="J102" s="713">
        <v>368088.60000000003</v>
      </c>
      <c r="K102" s="713">
        <v>368088.60000000003</v>
      </c>
      <c r="L102" s="713">
        <v>368088.60000000003</v>
      </c>
      <c r="M102" s="713">
        <v>368088.60000000003</v>
      </c>
      <c r="N102" s="713">
        <v>368088.60000000003</v>
      </c>
      <c r="O102" s="713">
        <v>368088.60000000003</v>
      </c>
      <c r="P102" s="573">
        <v>44895.783349999998</v>
      </c>
      <c r="Q102" s="573">
        <v>77.288458234490022</v>
      </c>
      <c r="R102" s="573">
        <v>323192.81665000005</v>
      </c>
      <c r="S102" s="426"/>
    </row>
    <row r="103" spans="1:19" ht="51" customHeight="1" x14ac:dyDescent="0.2">
      <c r="A103" s="1029" t="s">
        <v>113</v>
      </c>
      <c r="B103" s="232" t="s">
        <v>63</v>
      </c>
      <c r="C103" s="558">
        <v>95886.8</v>
      </c>
      <c r="D103" s="1043">
        <f>C103+9513.2</f>
        <v>105400</v>
      </c>
      <c r="E103" s="713">
        <f t="shared" ref="E103" si="83">D103</f>
        <v>105400</v>
      </c>
      <c r="F103" s="713">
        <v>105400</v>
      </c>
      <c r="G103" s="713">
        <v>105400</v>
      </c>
      <c r="H103" s="713">
        <v>105400</v>
      </c>
      <c r="I103" s="713">
        <v>105400</v>
      </c>
      <c r="J103" s="713">
        <v>105400</v>
      </c>
      <c r="K103" s="713">
        <v>105400</v>
      </c>
      <c r="L103" s="713">
        <v>105400</v>
      </c>
      <c r="M103" s="713">
        <v>105400</v>
      </c>
      <c r="N103" s="713">
        <v>105400</v>
      </c>
      <c r="O103" s="713">
        <v>105400</v>
      </c>
      <c r="P103" s="573">
        <v>55510.061350000004</v>
      </c>
      <c r="Q103" s="573">
        <v>52.666092362428849</v>
      </c>
      <c r="R103" s="573">
        <v>49889.938649999996</v>
      </c>
    </row>
    <row r="104" spans="1:19" ht="115.5" customHeight="1" x14ac:dyDescent="0.2">
      <c r="A104" s="1029" t="s">
        <v>115</v>
      </c>
      <c r="B104" s="242" t="s">
        <v>63</v>
      </c>
      <c r="C104" s="558">
        <v>440.1</v>
      </c>
      <c r="D104" s="713">
        <f t="shared" ref="D104:E104" si="84">C104</f>
        <v>440.1</v>
      </c>
      <c r="E104" s="713">
        <f t="shared" si="84"/>
        <v>440.1</v>
      </c>
      <c r="F104" s="713">
        <v>440.1</v>
      </c>
      <c r="G104" s="713">
        <v>440.1</v>
      </c>
      <c r="H104" s="713">
        <v>440.1</v>
      </c>
      <c r="I104" s="713">
        <v>440.1</v>
      </c>
      <c r="J104" s="713">
        <v>440.1</v>
      </c>
      <c r="K104" s="713">
        <v>440.1</v>
      </c>
      <c r="L104" s="713">
        <v>440.1</v>
      </c>
      <c r="M104" s="713">
        <v>440.1</v>
      </c>
      <c r="N104" s="713">
        <v>440.1</v>
      </c>
      <c r="O104" s="713">
        <v>440.1</v>
      </c>
      <c r="P104" s="573">
        <v>269.65571</v>
      </c>
      <c r="Q104" s="573">
        <v>69.267361963190183</v>
      </c>
      <c r="R104" s="573">
        <v>170.44429000000002</v>
      </c>
    </row>
    <row r="105" spans="1:19" ht="47.25" x14ac:dyDescent="0.2">
      <c r="A105" s="1029" t="s">
        <v>117</v>
      </c>
      <c r="B105" s="232" t="s">
        <v>63</v>
      </c>
      <c r="C105" s="558">
        <v>1662</v>
      </c>
      <c r="D105" s="713">
        <f t="shared" ref="D105:E105" si="85">C105</f>
        <v>1662</v>
      </c>
      <c r="E105" s="713">
        <f t="shared" si="85"/>
        <v>1662</v>
      </c>
      <c r="F105" s="713">
        <v>1662</v>
      </c>
      <c r="G105" s="713">
        <v>1662</v>
      </c>
      <c r="H105" s="713">
        <v>1662</v>
      </c>
      <c r="I105" s="713">
        <v>1662</v>
      </c>
      <c r="J105" s="713">
        <v>1662</v>
      </c>
      <c r="K105" s="713">
        <v>1662</v>
      </c>
      <c r="L105" s="713">
        <v>1662</v>
      </c>
      <c r="M105" s="713">
        <v>1662</v>
      </c>
      <c r="N105" s="713">
        <v>1662</v>
      </c>
      <c r="O105" s="713">
        <v>1662</v>
      </c>
      <c r="P105" s="573">
        <v>1662</v>
      </c>
      <c r="Q105" s="573">
        <v>100</v>
      </c>
      <c r="R105" s="573">
        <v>0</v>
      </c>
    </row>
    <row r="106" spans="1:19" ht="63" x14ac:dyDescent="0.2">
      <c r="A106" s="423" t="s">
        <v>342</v>
      </c>
      <c r="B106" s="232" t="s">
        <v>63</v>
      </c>
      <c r="C106" s="558">
        <v>59940</v>
      </c>
      <c r="D106" s="713">
        <f t="shared" ref="D106:E106" si="86">C106</f>
        <v>59940</v>
      </c>
      <c r="E106" s="713">
        <f t="shared" si="86"/>
        <v>59940</v>
      </c>
      <c r="F106" s="713">
        <v>59940</v>
      </c>
      <c r="G106" s="713">
        <v>59940</v>
      </c>
      <c r="H106" s="713">
        <v>59940</v>
      </c>
      <c r="I106" s="713">
        <v>59940</v>
      </c>
      <c r="J106" s="713">
        <v>59940</v>
      </c>
      <c r="K106" s="713">
        <v>59940</v>
      </c>
      <c r="L106" s="713">
        <v>59940</v>
      </c>
      <c r="M106" s="713">
        <v>59940</v>
      </c>
      <c r="N106" s="713">
        <v>59940</v>
      </c>
      <c r="O106" s="713">
        <v>59940</v>
      </c>
      <c r="P106" s="573">
        <v>0</v>
      </c>
      <c r="Q106" s="573">
        <v>0</v>
      </c>
      <c r="R106" s="573">
        <v>59940</v>
      </c>
    </row>
    <row r="107" spans="1:19" ht="31.5" x14ac:dyDescent="0.2">
      <c r="A107" s="126" t="s">
        <v>295</v>
      </c>
      <c r="B107" s="425" t="s">
        <v>63</v>
      </c>
      <c r="C107" s="558">
        <v>35000</v>
      </c>
      <c r="D107" s="713">
        <f t="shared" ref="D107:E107" si="87">C107</f>
        <v>35000</v>
      </c>
      <c r="E107" s="713">
        <f t="shared" si="87"/>
        <v>35000</v>
      </c>
      <c r="F107" s="713">
        <v>35000</v>
      </c>
      <c r="G107" s="713">
        <v>35000</v>
      </c>
      <c r="H107" s="713">
        <v>35000</v>
      </c>
      <c r="I107" s="713">
        <v>35000</v>
      </c>
      <c r="J107" s="713">
        <v>35000</v>
      </c>
      <c r="K107" s="713">
        <v>35000</v>
      </c>
      <c r="L107" s="713">
        <v>35000</v>
      </c>
      <c r="M107" s="713">
        <v>35000</v>
      </c>
      <c r="N107" s="713">
        <v>35000</v>
      </c>
      <c r="O107" s="713">
        <v>35000</v>
      </c>
      <c r="P107" s="573">
        <v>4719.3729000000003</v>
      </c>
      <c r="Q107" s="573">
        <v>13.483922571428572</v>
      </c>
      <c r="R107" s="573">
        <v>30280.627099999998</v>
      </c>
      <c r="S107" s="426"/>
    </row>
    <row r="108" spans="1:19" ht="31.5" x14ac:dyDescent="0.2">
      <c r="A108" s="1029" t="s">
        <v>120</v>
      </c>
      <c r="B108" s="232" t="s">
        <v>67</v>
      </c>
      <c r="C108" s="558"/>
      <c r="D108" s="713">
        <f t="shared" ref="D108:E108" si="88">C108</f>
        <v>0</v>
      </c>
      <c r="E108" s="713">
        <f t="shared" si="88"/>
        <v>0</v>
      </c>
      <c r="F108" s="713">
        <v>0</v>
      </c>
      <c r="G108" s="713">
        <v>0</v>
      </c>
      <c r="H108" s="713">
        <v>0</v>
      </c>
      <c r="I108" s="713">
        <v>0</v>
      </c>
      <c r="J108" s="713">
        <v>0</v>
      </c>
      <c r="K108" s="713">
        <v>0</v>
      </c>
      <c r="L108" s="713">
        <v>0</v>
      </c>
      <c r="M108" s="713">
        <v>0</v>
      </c>
      <c r="N108" s="713">
        <v>0</v>
      </c>
      <c r="O108" s="713">
        <v>0</v>
      </c>
      <c r="P108" s="573"/>
      <c r="Q108" s="573"/>
      <c r="R108" s="573">
        <v>0</v>
      </c>
    </row>
    <row r="109" spans="1:19" x14ac:dyDescent="0.2">
      <c r="A109" s="420" t="s">
        <v>13</v>
      </c>
      <c r="B109" s="232" t="s">
        <v>63</v>
      </c>
      <c r="C109" s="558">
        <v>2467.3000000000002</v>
      </c>
      <c r="D109" s="713">
        <f t="shared" ref="D109:E109" si="89">C109</f>
        <v>2467.3000000000002</v>
      </c>
      <c r="E109" s="713">
        <f t="shared" si="89"/>
        <v>2467.3000000000002</v>
      </c>
      <c r="F109" s="713">
        <v>2467.3000000000002</v>
      </c>
      <c r="G109" s="713">
        <v>2467.3000000000002</v>
      </c>
      <c r="H109" s="713">
        <v>2467.3000000000002</v>
      </c>
      <c r="I109" s="713">
        <v>2467.3000000000002</v>
      </c>
      <c r="J109" s="713">
        <v>2467.3000000000002</v>
      </c>
      <c r="K109" s="713">
        <v>2467.3000000000002</v>
      </c>
      <c r="L109" s="713">
        <v>2467.3000000000002</v>
      </c>
      <c r="M109" s="713">
        <v>2467.3000000000002</v>
      </c>
      <c r="N109" s="713">
        <v>2467.3000000000002</v>
      </c>
      <c r="O109" s="713">
        <v>2467.3000000000002</v>
      </c>
      <c r="P109" s="573">
        <v>2426.8620799999999</v>
      </c>
      <c r="Q109" s="573">
        <v>99.510849106310545</v>
      </c>
      <c r="R109" s="573">
        <v>40.437920000000304</v>
      </c>
    </row>
    <row r="110" spans="1:19" x14ac:dyDescent="0.2">
      <c r="A110" s="420" t="s">
        <v>15</v>
      </c>
      <c r="B110" s="232" t="s">
        <v>64</v>
      </c>
      <c r="C110" s="558">
        <v>10518.5</v>
      </c>
      <c r="D110" s="713">
        <f t="shared" ref="D110:E110" si="90">C110</f>
        <v>10518.5</v>
      </c>
      <c r="E110" s="713">
        <f t="shared" si="90"/>
        <v>10518.5</v>
      </c>
      <c r="F110" s="713">
        <v>10518.5</v>
      </c>
      <c r="G110" s="713">
        <v>10518.5</v>
      </c>
      <c r="H110" s="713">
        <v>10518.5</v>
      </c>
      <c r="I110" s="713">
        <v>10518.5</v>
      </c>
      <c r="J110" s="713">
        <v>10518.5</v>
      </c>
      <c r="K110" s="713">
        <v>10518.5</v>
      </c>
      <c r="L110" s="713">
        <v>10518.5</v>
      </c>
      <c r="M110" s="713">
        <v>10518.5</v>
      </c>
      <c r="N110" s="713">
        <v>10518.5</v>
      </c>
      <c r="O110" s="713">
        <v>10518.5</v>
      </c>
      <c r="P110" s="573">
        <v>10346.09635</v>
      </c>
      <c r="Q110" s="573">
        <v>99.510750487236763</v>
      </c>
      <c r="R110" s="573">
        <v>172.4036500000002</v>
      </c>
    </row>
    <row r="111" spans="1:19" ht="63" x14ac:dyDescent="0.2">
      <c r="A111" s="1027" t="s">
        <v>460</v>
      </c>
      <c r="B111" s="232" t="s">
        <v>67</v>
      </c>
      <c r="C111" s="558"/>
      <c r="D111" s="713">
        <f t="shared" ref="D111:E111" si="91">C111</f>
        <v>0</v>
      </c>
      <c r="E111" s="713">
        <f t="shared" si="91"/>
        <v>0</v>
      </c>
      <c r="F111" s="713">
        <v>0</v>
      </c>
      <c r="G111" s="713">
        <v>0</v>
      </c>
      <c r="H111" s="713">
        <v>0</v>
      </c>
      <c r="I111" s="713">
        <v>0</v>
      </c>
      <c r="J111" s="713">
        <v>0</v>
      </c>
      <c r="K111" s="713">
        <v>0</v>
      </c>
      <c r="L111" s="713">
        <v>0</v>
      </c>
      <c r="M111" s="713">
        <v>0</v>
      </c>
      <c r="N111" s="713">
        <v>0</v>
      </c>
      <c r="O111" s="713">
        <v>0</v>
      </c>
      <c r="P111" s="573"/>
      <c r="Q111" s="573"/>
      <c r="R111" s="573">
        <v>0</v>
      </c>
    </row>
    <row r="112" spans="1:19" x14ac:dyDescent="0.2">
      <c r="A112" s="420" t="s">
        <v>13</v>
      </c>
      <c r="B112" s="232" t="s">
        <v>63</v>
      </c>
      <c r="C112" s="558">
        <v>7129.2</v>
      </c>
      <c r="D112" s="713">
        <f t="shared" ref="D112:E112" si="92">C112</f>
        <v>7129.2</v>
      </c>
      <c r="E112" s="713">
        <f t="shared" si="92"/>
        <v>7129.2</v>
      </c>
      <c r="F112" s="713">
        <v>7129.2</v>
      </c>
      <c r="G112" s="713">
        <v>7129.2</v>
      </c>
      <c r="H112" s="713">
        <v>7129.2</v>
      </c>
      <c r="I112" s="713">
        <v>7129.2</v>
      </c>
      <c r="J112" s="713">
        <v>7129.2</v>
      </c>
      <c r="K112" s="713">
        <v>7129.2</v>
      </c>
      <c r="L112" s="713">
        <v>7129.2</v>
      </c>
      <c r="M112" s="713">
        <v>7129.2</v>
      </c>
      <c r="N112" s="713">
        <v>7129.2</v>
      </c>
      <c r="O112" s="713">
        <v>7129.2</v>
      </c>
      <c r="P112" s="573">
        <v>7129.2211200000002</v>
      </c>
      <c r="Q112" s="573">
        <v>100.00029624642318</v>
      </c>
      <c r="R112" s="573">
        <v>-2.1120000000337313E-2</v>
      </c>
      <c r="S112" s="127"/>
    </row>
    <row r="113" spans="1:19" x14ac:dyDescent="0.2">
      <c r="A113" s="420" t="s">
        <v>15</v>
      </c>
      <c r="B113" s="232" t="s">
        <v>64</v>
      </c>
      <c r="C113" s="558">
        <v>17454.3</v>
      </c>
      <c r="D113" s="713">
        <f t="shared" ref="D113:E113" si="93">C113</f>
        <v>17454.3</v>
      </c>
      <c r="E113" s="713">
        <f t="shared" si="93"/>
        <v>17454.3</v>
      </c>
      <c r="F113" s="713">
        <v>17454.3</v>
      </c>
      <c r="G113" s="713">
        <v>17454.3</v>
      </c>
      <c r="H113" s="713">
        <v>17454.3</v>
      </c>
      <c r="I113" s="713">
        <v>17454.3</v>
      </c>
      <c r="J113" s="713">
        <v>17454.3</v>
      </c>
      <c r="K113" s="713">
        <v>17454.3</v>
      </c>
      <c r="L113" s="713">
        <v>17454.3</v>
      </c>
      <c r="M113" s="713">
        <v>17454.3</v>
      </c>
      <c r="N113" s="713">
        <v>17454.3</v>
      </c>
      <c r="O113" s="713">
        <v>17454.3</v>
      </c>
      <c r="P113" s="573">
        <v>17454.3</v>
      </c>
      <c r="Q113" s="573">
        <v>100</v>
      </c>
      <c r="R113" s="573">
        <v>0</v>
      </c>
      <c r="S113" s="127"/>
    </row>
    <row r="114" spans="1:19" s="115" customFormat="1" x14ac:dyDescent="0.2">
      <c r="A114" s="113" t="s">
        <v>123</v>
      </c>
      <c r="B114" s="422" t="s">
        <v>63</v>
      </c>
      <c r="C114" s="1048">
        <f t="shared" ref="C114:E114" si="94">C115</f>
        <v>1348877.5</v>
      </c>
      <c r="D114" s="1048">
        <f t="shared" si="94"/>
        <v>1507981</v>
      </c>
      <c r="E114" s="1048">
        <f t="shared" si="94"/>
        <v>1507981</v>
      </c>
      <c r="F114" s="1048">
        <v>1507981</v>
      </c>
      <c r="G114" s="1048">
        <v>1507981</v>
      </c>
      <c r="H114" s="1048">
        <v>1507981</v>
      </c>
      <c r="I114" s="1048">
        <v>1507981</v>
      </c>
      <c r="J114" s="1048">
        <v>1507981</v>
      </c>
      <c r="K114" s="1048">
        <v>1507981</v>
      </c>
      <c r="L114" s="1048">
        <v>1507981</v>
      </c>
      <c r="M114" s="1048">
        <v>1507981</v>
      </c>
      <c r="N114" s="1048">
        <v>1507981</v>
      </c>
      <c r="O114" s="1048">
        <v>1507981</v>
      </c>
      <c r="P114" s="1048">
        <v>849946.00270000007</v>
      </c>
      <c r="Q114" s="1048">
        <v>56.363177168677858</v>
      </c>
      <c r="R114" s="1048">
        <v>658034.99729999993</v>
      </c>
    </row>
    <row r="115" spans="1:19" s="115" customFormat="1" x14ac:dyDescent="0.2">
      <c r="A115" s="420" t="s">
        <v>13</v>
      </c>
      <c r="B115" s="422" t="s">
        <v>63</v>
      </c>
      <c r="C115" s="1046">
        <f t="shared" ref="C115:E115" si="95">SUMIF($B$116:$B$125,"=01",C116:C125)</f>
        <v>1348877.5</v>
      </c>
      <c r="D115" s="1046">
        <f t="shared" si="95"/>
        <v>1507981</v>
      </c>
      <c r="E115" s="1046">
        <f t="shared" si="95"/>
        <v>1507981</v>
      </c>
      <c r="F115" s="1046">
        <v>1507981</v>
      </c>
      <c r="G115" s="1046">
        <v>1507981</v>
      </c>
      <c r="H115" s="1046">
        <v>1507981</v>
      </c>
      <c r="I115" s="1046">
        <v>1507981</v>
      </c>
      <c r="J115" s="1046">
        <v>1507981</v>
      </c>
      <c r="K115" s="1046">
        <v>1507981</v>
      </c>
      <c r="L115" s="1046">
        <v>1507981</v>
      </c>
      <c r="M115" s="1046">
        <v>1507981</v>
      </c>
      <c r="N115" s="1046">
        <v>1507981</v>
      </c>
      <c r="O115" s="1046">
        <v>1507981</v>
      </c>
      <c r="P115" s="1046">
        <v>849946.00270000007</v>
      </c>
      <c r="Q115" s="1046">
        <v>56.363177168677858</v>
      </c>
      <c r="R115" s="1046">
        <v>658034.99729999993</v>
      </c>
    </row>
    <row r="116" spans="1:19" ht="50.25" customHeight="1" x14ac:dyDescent="0.2">
      <c r="A116" s="128" t="s">
        <v>340</v>
      </c>
      <c r="B116" s="427" t="s">
        <v>63</v>
      </c>
      <c r="C116" s="558">
        <v>393243</v>
      </c>
      <c r="D116" s="713">
        <f t="shared" ref="D116:E116" si="96">C116</f>
        <v>393243</v>
      </c>
      <c r="E116" s="713">
        <f t="shared" si="96"/>
        <v>393243</v>
      </c>
      <c r="F116" s="713">
        <v>393243</v>
      </c>
      <c r="G116" s="713">
        <v>393243</v>
      </c>
      <c r="H116" s="713">
        <v>393243</v>
      </c>
      <c r="I116" s="713">
        <v>393243</v>
      </c>
      <c r="J116" s="713">
        <v>393243</v>
      </c>
      <c r="K116" s="713">
        <v>393243</v>
      </c>
      <c r="L116" s="713">
        <v>393243</v>
      </c>
      <c r="M116" s="713">
        <v>393243</v>
      </c>
      <c r="N116" s="713">
        <v>393243</v>
      </c>
      <c r="O116" s="713">
        <v>393243</v>
      </c>
      <c r="P116" s="573">
        <v>316992.82357000001</v>
      </c>
      <c r="Q116" s="573">
        <v>80.60990877650714</v>
      </c>
      <c r="R116" s="573">
        <v>76250.176429999992</v>
      </c>
    </row>
    <row r="117" spans="1:19" ht="63" x14ac:dyDescent="0.2">
      <c r="A117" s="1028" t="s">
        <v>300</v>
      </c>
      <c r="B117" s="242" t="s">
        <v>63</v>
      </c>
      <c r="C117" s="558">
        <v>50927.8</v>
      </c>
      <c r="D117" s="713">
        <f t="shared" ref="D117:E117" si="97">C117</f>
        <v>50927.8</v>
      </c>
      <c r="E117" s="713">
        <f t="shared" si="97"/>
        <v>50927.8</v>
      </c>
      <c r="F117" s="713">
        <v>50927.8</v>
      </c>
      <c r="G117" s="713">
        <v>50927.8</v>
      </c>
      <c r="H117" s="713">
        <v>50927.8</v>
      </c>
      <c r="I117" s="713">
        <v>50927.8</v>
      </c>
      <c r="J117" s="713">
        <v>50927.8</v>
      </c>
      <c r="K117" s="713">
        <v>50927.8</v>
      </c>
      <c r="L117" s="713">
        <v>50927.8</v>
      </c>
      <c r="M117" s="713">
        <v>50927.8</v>
      </c>
      <c r="N117" s="713">
        <v>50927.8</v>
      </c>
      <c r="O117" s="713">
        <v>50927.8</v>
      </c>
      <c r="P117" s="573">
        <v>10848.826880000001</v>
      </c>
      <c r="Q117" s="573">
        <v>21.302367037256666</v>
      </c>
      <c r="R117" s="573">
        <v>40078.973120000002</v>
      </c>
      <c r="S117" s="426"/>
    </row>
    <row r="118" spans="1:19" ht="65.25" customHeight="1" x14ac:dyDescent="0.2">
      <c r="A118" s="128" t="s">
        <v>299</v>
      </c>
      <c r="B118" s="427" t="s">
        <v>63</v>
      </c>
      <c r="C118" s="558">
        <v>24380.9</v>
      </c>
      <c r="D118" s="713">
        <f t="shared" ref="D118:E118" si="98">C118</f>
        <v>24380.9</v>
      </c>
      <c r="E118" s="713">
        <f t="shared" si="98"/>
        <v>24380.9</v>
      </c>
      <c r="F118" s="713">
        <v>24380.9</v>
      </c>
      <c r="G118" s="713">
        <v>24380.9</v>
      </c>
      <c r="H118" s="713">
        <v>24380.9</v>
      </c>
      <c r="I118" s="713">
        <v>24380.9</v>
      </c>
      <c r="J118" s="713">
        <v>24380.9</v>
      </c>
      <c r="K118" s="713">
        <v>24380.9</v>
      </c>
      <c r="L118" s="713">
        <v>24380.9</v>
      </c>
      <c r="M118" s="713">
        <v>24380.9</v>
      </c>
      <c r="N118" s="713">
        <v>24380.9</v>
      </c>
      <c r="O118" s="713">
        <v>24380.9</v>
      </c>
      <c r="P118" s="573"/>
      <c r="Q118" s="573">
        <v>0</v>
      </c>
      <c r="R118" s="573">
        <v>24380.9</v>
      </c>
    </row>
    <row r="119" spans="1:19" ht="31.5" x14ac:dyDescent="0.2">
      <c r="A119" s="128" t="s">
        <v>125</v>
      </c>
      <c r="B119" s="428" t="s">
        <v>63</v>
      </c>
      <c r="C119" s="558">
        <v>71558.2</v>
      </c>
      <c r="D119" s="713">
        <f t="shared" ref="D119:E120" si="99">C119</f>
        <v>71558.2</v>
      </c>
      <c r="E119" s="713">
        <f t="shared" si="99"/>
        <v>71558.2</v>
      </c>
      <c r="F119" s="713">
        <v>71558.2</v>
      </c>
      <c r="G119" s="713">
        <v>71558.2</v>
      </c>
      <c r="H119" s="713">
        <v>71558.2</v>
      </c>
      <c r="I119" s="713">
        <v>71558.2</v>
      </c>
      <c r="J119" s="713">
        <v>71558.2</v>
      </c>
      <c r="K119" s="713">
        <v>71558.2</v>
      </c>
      <c r="L119" s="713">
        <v>71558.2</v>
      </c>
      <c r="M119" s="713">
        <v>71558.2</v>
      </c>
      <c r="N119" s="713">
        <v>71558.2</v>
      </c>
      <c r="O119" s="713">
        <v>71558.2</v>
      </c>
      <c r="P119" s="573">
        <v>43895.560199999993</v>
      </c>
      <c r="Q119" s="573">
        <v>61.342459983621708</v>
      </c>
      <c r="R119" s="573">
        <v>27662.639800000004</v>
      </c>
    </row>
    <row r="120" spans="1:19" ht="78.75" x14ac:dyDescent="0.2">
      <c r="A120" s="1031" t="s">
        <v>420</v>
      </c>
      <c r="B120" s="428" t="s">
        <v>63</v>
      </c>
      <c r="C120" s="558">
        <v>25000</v>
      </c>
      <c r="D120" s="713">
        <f t="shared" si="99"/>
        <v>25000</v>
      </c>
      <c r="E120" s="713">
        <f t="shared" si="99"/>
        <v>25000</v>
      </c>
      <c r="F120" s="713">
        <v>25000</v>
      </c>
      <c r="G120" s="713">
        <v>25000</v>
      </c>
      <c r="H120" s="713">
        <v>25000</v>
      </c>
      <c r="I120" s="713">
        <v>25000</v>
      </c>
      <c r="J120" s="713">
        <v>25000</v>
      </c>
      <c r="K120" s="713">
        <v>25000</v>
      </c>
      <c r="L120" s="713">
        <v>25000</v>
      </c>
      <c r="M120" s="713">
        <v>25000</v>
      </c>
      <c r="N120" s="713">
        <v>25000</v>
      </c>
      <c r="O120" s="713">
        <v>25000</v>
      </c>
      <c r="P120" s="573"/>
      <c r="Q120" s="573"/>
      <c r="R120" s="573">
        <v>25000</v>
      </c>
    </row>
    <row r="121" spans="1:19" ht="47.25" x14ac:dyDescent="0.2">
      <c r="A121" s="1028" t="s">
        <v>316</v>
      </c>
      <c r="B121" s="242" t="s">
        <v>63</v>
      </c>
      <c r="C121" s="558">
        <v>26122.3</v>
      </c>
      <c r="D121" s="713">
        <f t="shared" ref="D121:E121" si="100">C121</f>
        <v>26122.3</v>
      </c>
      <c r="E121" s="713">
        <f t="shared" si="100"/>
        <v>26122.3</v>
      </c>
      <c r="F121" s="713">
        <v>26122.3</v>
      </c>
      <c r="G121" s="713">
        <v>26122.3</v>
      </c>
      <c r="H121" s="713">
        <v>26122.3</v>
      </c>
      <c r="I121" s="713">
        <v>26122.3</v>
      </c>
      <c r="J121" s="713">
        <v>26122.3</v>
      </c>
      <c r="K121" s="713">
        <v>26122.3</v>
      </c>
      <c r="L121" s="713">
        <v>26122.3</v>
      </c>
      <c r="M121" s="713">
        <v>26122.3</v>
      </c>
      <c r="N121" s="713">
        <v>26122.3</v>
      </c>
      <c r="O121" s="713">
        <v>26122.3</v>
      </c>
      <c r="P121" s="573">
        <v>22816.782800000001</v>
      </c>
      <c r="Q121" s="573">
        <v>87.345994801376605</v>
      </c>
      <c r="R121" s="573">
        <v>3305.5171999999984</v>
      </c>
      <c r="S121" s="426"/>
    </row>
    <row r="122" spans="1:19" ht="78.75" x14ac:dyDescent="0.2">
      <c r="A122" s="1026" t="s">
        <v>341</v>
      </c>
      <c r="B122" s="428" t="s">
        <v>63</v>
      </c>
      <c r="C122" s="558">
        <v>70214.100000000006</v>
      </c>
      <c r="D122" s="1043">
        <f>C122+159103.5</f>
        <v>229317.6</v>
      </c>
      <c r="E122" s="713">
        <f t="shared" ref="E122:E123" si="101">D122</f>
        <v>229317.6</v>
      </c>
      <c r="F122" s="713">
        <v>229317.6</v>
      </c>
      <c r="G122" s="713">
        <v>229317.6</v>
      </c>
      <c r="H122" s="713">
        <v>229317.6</v>
      </c>
      <c r="I122" s="713">
        <v>229317.6</v>
      </c>
      <c r="J122" s="713">
        <v>229317.6</v>
      </c>
      <c r="K122" s="713">
        <v>229317.6</v>
      </c>
      <c r="L122" s="713">
        <v>229317.6</v>
      </c>
      <c r="M122" s="713">
        <v>229317.6</v>
      </c>
      <c r="N122" s="713">
        <v>229317.6</v>
      </c>
      <c r="O122" s="713">
        <v>229317.6</v>
      </c>
      <c r="P122" s="573">
        <v>11980.418810000001</v>
      </c>
      <c r="Q122" s="573">
        <v>5.2243782465890103</v>
      </c>
      <c r="R122" s="573">
        <v>217337.18119</v>
      </c>
    </row>
    <row r="123" spans="1:19" ht="47.25" x14ac:dyDescent="0.2">
      <c r="A123" s="1028" t="s">
        <v>129</v>
      </c>
      <c r="B123" s="242" t="s">
        <v>63</v>
      </c>
      <c r="C123" s="558">
        <v>3000</v>
      </c>
      <c r="D123" s="713">
        <f>C123</f>
        <v>3000</v>
      </c>
      <c r="E123" s="713">
        <f t="shared" si="101"/>
        <v>3000</v>
      </c>
      <c r="F123" s="713">
        <v>3000</v>
      </c>
      <c r="G123" s="713">
        <v>3000</v>
      </c>
      <c r="H123" s="713">
        <v>3000</v>
      </c>
      <c r="I123" s="713">
        <v>3000</v>
      </c>
      <c r="J123" s="713">
        <v>3000</v>
      </c>
      <c r="K123" s="713">
        <v>3000</v>
      </c>
      <c r="L123" s="713">
        <v>3000</v>
      </c>
      <c r="M123" s="713">
        <v>3000</v>
      </c>
      <c r="N123" s="713">
        <v>3000</v>
      </c>
      <c r="O123" s="713">
        <v>3000</v>
      </c>
      <c r="P123" s="573">
        <v>0</v>
      </c>
      <c r="Q123" s="573">
        <v>0</v>
      </c>
      <c r="R123" s="573">
        <v>3000</v>
      </c>
      <c r="S123" s="426"/>
    </row>
    <row r="124" spans="1:19" ht="39" customHeight="1" x14ac:dyDescent="0.2">
      <c r="A124" s="423" t="s">
        <v>427</v>
      </c>
      <c r="B124" s="242" t="s">
        <v>63</v>
      </c>
      <c r="C124" s="558">
        <v>474750</v>
      </c>
      <c r="D124" s="713">
        <f t="shared" ref="D124:E124" si="102">C124</f>
        <v>474750</v>
      </c>
      <c r="E124" s="713">
        <f t="shared" si="102"/>
        <v>474750</v>
      </c>
      <c r="F124" s="713">
        <v>474750</v>
      </c>
      <c r="G124" s="713">
        <v>474750</v>
      </c>
      <c r="H124" s="713">
        <v>474750</v>
      </c>
      <c r="I124" s="713">
        <v>474750</v>
      </c>
      <c r="J124" s="713">
        <v>474750</v>
      </c>
      <c r="K124" s="713">
        <v>474750</v>
      </c>
      <c r="L124" s="713">
        <v>474750</v>
      </c>
      <c r="M124" s="713">
        <v>474750</v>
      </c>
      <c r="N124" s="713">
        <v>474750</v>
      </c>
      <c r="O124" s="713">
        <v>474750</v>
      </c>
      <c r="P124" s="573">
        <v>443411.59044000006</v>
      </c>
      <c r="Q124" s="573">
        <v>93.398965864139029</v>
      </c>
      <c r="R124" s="573">
        <v>31338.409559999942</v>
      </c>
    </row>
    <row r="125" spans="1:19" ht="47.25" x14ac:dyDescent="0.2">
      <c r="A125" s="1028" t="s">
        <v>417</v>
      </c>
      <c r="B125" s="242" t="s">
        <v>63</v>
      </c>
      <c r="C125" s="558">
        <v>209681.2</v>
      </c>
      <c r="D125" s="713">
        <f t="shared" ref="D125:E125" si="103">C125</f>
        <v>209681.2</v>
      </c>
      <c r="E125" s="713">
        <f t="shared" si="103"/>
        <v>209681.2</v>
      </c>
      <c r="F125" s="713">
        <v>209681.2</v>
      </c>
      <c r="G125" s="713">
        <v>209681.2</v>
      </c>
      <c r="H125" s="713">
        <v>209681.2</v>
      </c>
      <c r="I125" s="713">
        <v>209681.2</v>
      </c>
      <c r="J125" s="713">
        <v>209681.2</v>
      </c>
      <c r="K125" s="713">
        <v>209681.2</v>
      </c>
      <c r="L125" s="713">
        <v>209681.2</v>
      </c>
      <c r="M125" s="713">
        <v>209681.2</v>
      </c>
      <c r="N125" s="713">
        <v>209681.2</v>
      </c>
      <c r="O125" s="713">
        <v>209681.2</v>
      </c>
      <c r="P125" s="573"/>
      <c r="Q125" s="573"/>
      <c r="R125" s="573">
        <v>209681.2</v>
      </c>
      <c r="S125" s="426"/>
    </row>
    <row r="126" spans="1:19" s="115" customFormat="1" ht="31.5" x14ac:dyDescent="0.2">
      <c r="A126" s="113" t="s">
        <v>132</v>
      </c>
      <c r="B126" s="232"/>
      <c r="C126" s="1048">
        <f>C127+C128</f>
        <v>37749</v>
      </c>
      <c r="D126" s="1048">
        <f t="shared" ref="D126:E126" si="104">D127+D128</f>
        <v>37749</v>
      </c>
      <c r="E126" s="1048">
        <f t="shared" si="104"/>
        <v>37749</v>
      </c>
      <c r="F126" s="1048">
        <v>37749</v>
      </c>
      <c r="G126" s="1048">
        <v>37749</v>
      </c>
      <c r="H126" s="1048">
        <v>37749</v>
      </c>
      <c r="I126" s="1048">
        <v>37749</v>
      </c>
      <c r="J126" s="1048">
        <v>37749</v>
      </c>
      <c r="K126" s="1048">
        <v>37749</v>
      </c>
      <c r="L126" s="1048">
        <v>37749</v>
      </c>
      <c r="M126" s="1048">
        <v>37749</v>
      </c>
      <c r="N126" s="1048">
        <v>37749</v>
      </c>
      <c r="O126" s="1048">
        <v>37749</v>
      </c>
      <c r="P126" s="1048">
        <v>0</v>
      </c>
      <c r="Q126" s="1048">
        <v>0</v>
      </c>
      <c r="R126" s="1048">
        <v>37749</v>
      </c>
    </row>
    <row r="127" spans="1:19" s="115" customFormat="1" x14ac:dyDescent="0.2">
      <c r="A127" s="420" t="s">
        <v>13</v>
      </c>
      <c r="B127" s="422" t="s">
        <v>63</v>
      </c>
      <c r="C127" s="1046">
        <f>SUMIF($B$129:$B$134,"=01",C129:C134)</f>
        <v>10947.2</v>
      </c>
      <c r="D127" s="1046">
        <f t="shared" ref="D127:E127" si="105">SUMIF($B$129:$B$134,"=01",D129:D134)</f>
        <v>10947.2</v>
      </c>
      <c r="E127" s="1046">
        <f t="shared" si="105"/>
        <v>10947.2</v>
      </c>
      <c r="F127" s="1046">
        <v>10947.2</v>
      </c>
      <c r="G127" s="1046">
        <v>10947.2</v>
      </c>
      <c r="H127" s="1046">
        <v>10947.2</v>
      </c>
      <c r="I127" s="1046">
        <v>10947.2</v>
      </c>
      <c r="J127" s="1046">
        <v>10947.2</v>
      </c>
      <c r="K127" s="1046">
        <v>10947.2</v>
      </c>
      <c r="L127" s="1046">
        <v>10947.2</v>
      </c>
      <c r="M127" s="1046">
        <v>10947.2</v>
      </c>
      <c r="N127" s="1046">
        <v>10947.2</v>
      </c>
      <c r="O127" s="1046">
        <v>10947.2</v>
      </c>
      <c r="P127" s="1046">
        <v>0</v>
      </c>
      <c r="Q127" s="1046">
        <v>0</v>
      </c>
      <c r="R127" s="1046">
        <v>10947.2</v>
      </c>
    </row>
    <row r="128" spans="1:19" s="115" customFormat="1" x14ac:dyDescent="0.2">
      <c r="A128" s="420" t="s">
        <v>15</v>
      </c>
      <c r="B128" s="422" t="s">
        <v>64</v>
      </c>
      <c r="C128" s="1046">
        <f>SUMIF($B$129:$B$134,"=02",C129:C134)</f>
        <v>26801.8</v>
      </c>
      <c r="D128" s="1046">
        <f t="shared" ref="D128:E128" si="106">SUMIF($B$129:$B$134,"=02",D129:D134)</f>
        <v>26801.8</v>
      </c>
      <c r="E128" s="1046">
        <f t="shared" si="106"/>
        <v>26801.8</v>
      </c>
      <c r="F128" s="1046">
        <v>26801.8</v>
      </c>
      <c r="G128" s="1046">
        <v>26801.8</v>
      </c>
      <c r="H128" s="1046">
        <v>26801.8</v>
      </c>
      <c r="I128" s="1046">
        <v>26801.8</v>
      </c>
      <c r="J128" s="1046">
        <v>26801.8</v>
      </c>
      <c r="K128" s="1046">
        <v>26801.8</v>
      </c>
      <c r="L128" s="1046">
        <v>26801.8</v>
      </c>
      <c r="M128" s="1046">
        <v>26801.8</v>
      </c>
      <c r="N128" s="1046">
        <v>26801.8</v>
      </c>
      <c r="O128" s="1046">
        <v>26801.8</v>
      </c>
      <c r="P128" s="1046">
        <v>0</v>
      </c>
      <c r="Q128" s="1046">
        <v>0</v>
      </c>
      <c r="R128" s="1046">
        <v>26801.8</v>
      </c>
    </row>
    <row r="129" spans="1:18" ht="68.25" customHeight="1" x14ac:dyDescent="0.2">
      <c r="A129" s="1033" t="s">
        <v>440</v>
      </c>
      <c r="B129" s="232" t="s">
        <v>67</v>
      </c>
      <c r="C129" s="558"/>
      <c r="D129" s="713">
        <f t="shared" ref="D129:E134" si="107">C129</f>
        <v>0</v>
      </c>
      <c r="E129" s="713">
        <f t="shared" si="107"/>
        <v>0</v>
      </c>
      <c r="F129" s="713">
        <v>0</v>
      </c>
      <c r="G129" s="713">
        <v>0</v>
      </c>
      <c r="H129" s="713">
        <v>0</v>
      </c>
      <c r="I129" s="713">
        <v>0</v>
      </c>
      <c r="J129" s="713">
        <v>0</v>
      </c>
      <c r="K129" s="713">
        <v>0</v>
      </c>
      <c r="L129" s="713">
        <v>0</v>
      </c>
      <c r="M129" s="713">
        <v>0</v>
      </c>
      <c r="N129" s="713">
        <v>0</v>
      </c>
      <c r="O129" s="713">
        <v>0</v>
      </c>
      <c r="P129" s="573"/>
      <c r="Q129" s="573"/>
      <c r="R129" s="573">
        <v>0</v>
      </c>
    </row>
    <row r="130" spans="1:18" x14ac:dyDescent="0.2">
      <c r="A130" s="420" t="s">
        <v>13</v>
      </c>
      <c r="B130" s="232" t="s">
        <v>63</v>
      </c>
      <c r="C130" s="558">
        <v>8371</v>
      </c>
      <c r="D130" s="713">
        <f t="shared" si="107"/>
        <v>8371</v>
      </c>
      <c r="E130" s="713">
        <f t="shared" si="107"/>
        <v>8371</v>
      </c>
      <c r="F130" s="713">
        <v>8371</v>
      </c>
      <c r="G130" s="713">
        <v>8371</v>
      </c>
      <c r="H130" s="713">
        <v>8371</v>
      </c>
      <c r="I130" s="713">
        <v>8371</v>
      </c>
      <c r="J130" s="713">
        <v>8371</v>
      </c>
      <c r="K130" s="713">
        <v>8371</v>
      </c>
      <c r="L130" s="713">
        <v>8371</v>
      </c>
      <c r="M130" s="713">
        <v>8371</v>
      </c>
      <c r="N130" s="713">
        <v>8371</v>
      </c>
      <c r="O130" s="713">
        <v>8371</v>
      </c>
      <c r="P130" s="573"/>
      <c r="Q130" s="573">
        <v>0</v>
      </c>
      <c r="R130" s="573">
        <v>8371</v>
      </c>
    </row>
    <row r="131" spans="1:18" x14ac:dyDescent="0.2">
      <c r="A131" s="420" t="s">
        <v>15</v>
      </c>
      <c r="B131" s="232" t="s">
        <v>64</v>
      </c>
      <c r="C131" s="558">
        <v>20494.599999999999</v>
      </c>
      <c r="D131" s="713">
        <f t="shared" si="107"/>
        <v>20494.599999999999</v>
      </c>
      <c r="E131" s="713">
        <f t="shared" si="107"/>
        <v>20494.599999999999</v>
      </c>
      <c r="F131" s="713">
        <v>20494.599999999999</v>
      </c>
      <c r="G131" s="713">
        <v>20494.599999999999</v>
      </c>
      <c r="H131" s="713">
        <v>20494.599999999999</v>
      </c>
      <c r="I131" s="713">
        <v>20494.599999999999</v>
      </c>
      <c r="J131" s="713">
        <v>20494.599999999999</v>
      </c>
      <c r="K131" s="713">
        <v>20494.599999999999</v>
      </c>
      <c r="L131" s="713">
        <v>20494.599999999999</v>
      </c>
      <c r="M131" s="713">
        <v>20494.599999999999</v>
      </c>
      <c r="N131" s="713">
        <v>20494.599999999999</v>
      </c>
      <c r="O131" s="713">
        <v>20494.599999999999</v>
      </c>
      <c r="P131" s="573"/>
      <c r="Q131" s="573">
        <v>0</v>
      </c>
      <c r="R131" s="573">
        <v>20494.599999999999</v>
      </c>
    </row>
    <row r="132" spans="1:18" ht="58.5" customHeight="1" x14ac:dyDescent="0.2">
      <c r="A132" s="1033" t="s">
        <v>461</v>
      </c>
      <c r="B132" s="232" t="s">
        <v>67</v>
      </c>
      <c r="C132" s="558"/>
      <c r="D132" s="713">
        <f t="shared" si="107"/>
        <v>0</v>
      </c>
      <c r="E132" s="713">
        <f t="shared" si="107"/>
        <v>0</v>
      </c>
      <c r="F132" s="713">
        <v>0</v>
      </c>
      <c r="G132" s="713">
        <v>0</v>
      </c>
      <c r="H132" s="713">
        <v>0</v>
      </c>
      <c r="I132" s="713">
        <v>0</v>
      </c>
      <c r="J132" s="713">
        <v>0</v>
      </c>
      <c r="K132" s="713">
        <v>0</v>
      </c>
      <c r="L132" s="713">
        <v>0</v>
      </c>
      <c r="M132" s="713">
        <v>0</v>
      </c>
      <c r="N132" s="713">
        <v>0</v>
      </c>
      <c r="O132" s="713">
        <v>0</v>
      </c>
      <c r="P132" s="573"/>
      <c r="Q132" s="573"/>
      <c r="R132" s="573">
        <v>0</v>
      </c>
    </row>
    <row r="133" spans="1:18" x14ac:dyDescent="0.2">
      <c r="A133" s="420" t="s">
        <v>13</v>
      </c>
      <c r="B133" s="232" t="s">
        <v>63</v>
      </c>
      <c r="C133" s="558">
        <v>2576.1999999999998</v>
      </c>
      <c r="D133" s="713">
        <f t="shared" si="107"/>
        <v>2576.1999999999998</v>
      </c>
      <c r="E133" s="713">
        <f t="shared" si="107"/>
        <v>2576.1999999999998</v>
      </c>
      <c r="F133" s="713">
        <v>2576.1999999999998</v>
      </c>
      <c r="G133" s="713">
        <v>2576.1999999999998</v>
      </c>
      <c r="H133" s="713">
        <v>2576.1999999999998</v>
      </c>
      <c r="I133" s="713">
        <v>2576.1999999999998</v>
      </c>
      <c r="J133" s="713">
        <v>2576.1999999999998</v>
      </c>
      <c r="K133" s="713">
        <v>2576.1999999999998</v>
      </c>
      <c r="L133" s="713">
        <v>2576.1999999999998</v>
      </c>
      <c r="M133" s="713">
        <v>2576.1999999999998</v>
      </c>
      <c r="N133" s="713">
        <v>2576.1999999999998</v>
      </c>
      <c r="O133" s="713">
        <v>2576.1999999999998</v>
      </c>
      <c r="P133" s="573"/>
      <c r="Q133" s="573">
        <v>0</v>
      </c>
      <c r="R133" s="573">
        <v>2576.1999999999998</v>
      </c>
    </row>
    <row r="134" spans="1:18" x14ac:dyDescent="0.2">
      <c r="A134" s="420" t="s">
        <v>15</v>
      </c>
      <c r="B134" s="232" t="s">
        <v>64</v>
      </c>
      <c r="C134" s="558">
        <v>6307.2</v>
      </c>
      <c r="D134" s="713">
        <f t="shared" si="107"/>
        <v>6307.2</v>
      </c>
      <c r="E134" s="713">
        <f t="shared" si="107"/>
        <v>6307.2</v>
      </c>
      <c r="F134" s="713">
        <v>6307.2</v>
      </c>
      <c r="G134" s="713">
        <v>6307.2</v>
      </c>
      <c r="H134" s="713">
        <v>6307.2</v>
      </c>
      <c r="I134" s="713">
        <v>6307.2</v>
      </c>
      <c r="J134" s="713">
        <v>6307.2</v>
      </c>
      <c r="K134" s="713">
        <v>6307.2</v>
      </c>
      <c r="L134" s="713">
        <v>6307.2</v>
      </c>
      <c r="M134" s="713">
        <v>6307.2</v>
      </c>
      <c r="N134" s="713">
        <v>6307.2</v>
      </c>
      <c r="O134" s="713">
        <v>6307.2</v>
      </c>
      <c r="P134" s="573"/>
      <c r="Q134" s="573">
        <v>0</v>
      </c>
      <c r="R134" s="573">
        <v>6307.2</v>
      </c>
    </row>
    <row r="135" spans="1:18" s="115" customFormat="1" ht="31.5" x14ac:dyDescent="0.2">
      <c r="A135" s="113" t="s">
        <v>133</v>
      </c>
      <c r="B135" s="422" t="s">
        <v>63</v>
      </c>
      <c r="C135" s="1048">
        <f>C136</f>
        <v>330585.5</v>
      </c>
      <c r="D135" s="1048">
        <f t="shared" ref="D135:E135" si="108">D136</f>
        <v>330585.5</v>
      </c>
      <c r="E135" s="1048">
        <f t="shared" si="108"/>
        <v>330585.5</v>
      </c>
      <c r="F135" s="1048">
        <v>330585.5</v>
      </c>
      <c r="G135" s="1048">
        <v>330585.5</v>
      </c>
      <c r="H135" s="1048">
        <v>330585.5</v>
      </c>
      <c r="I135" s="1048">
        <v>330585.5</v>
      </c>
      <c r="J135" s="1048">
        <v>330585.5</v>
      </c>
      <c r="K135" s="1048">
        <v>330585.5</v>
      </c>
      <c r="L135" s="1048">
        <v>330585.5</v>
      </c>
      <c r="M135" s="1048">
        <v>330585.5</v>
      </c>
      <c r="N135" s="1048">
        <v>330585.5</v>
      </c>
      <c r="O135" s="1048">
        <v>330585.5</v>
      </c>
      <c r="P135" s="1048">
        <v>161848.96614999999</v>
      </c>
      <c r="Q135" s="1048">
        <v>48.958277404786358</v>
      </c>
      <c r="R135" s="1048">
        <v>168736.53385000001</v>
      </c>
    </row>
    <row r="136" spans="1:18" s="115" customFormat="1" x14ac:dyDescent="0.2">
      <c r="A136" s="420" t="s">
        <v>13</v>
      </c>
      <c r="B136" s="422" t="s">
        <v>63</v>
      </c>
      <c r="C136" s="1046">
        <f t="shared" ref="C136:E136" si="109">SUMIF($B$137:$B$144,"=01",C137:C144)</f>
        <v>330585.5</v>
      </c>
      <c r="D136" s="1046">
        <f t="shared" si="109"/>
        <v>330585.5</v>
      </c>
      <c r="E136" s="1046">
        <f t="shared" si="109"/>
        <v>330585.5</v>
      </c>
      <c r="F136" s="1046">
        <v>330585.5</v>
      </c>
      <c r="G136" s="1046">
        <v>330585.5</v>
      </c>
      <c r="H136" s="1046">
        <v>330585.5</v>
      </c>
      <c r="I136" s="1046">
        <v>330585.5</v>
      </c>
      <c r="J136" s="1046">
        <v>330585.5</v>
      </c>
      <c r="K136" s="1046">
        <v>330585.5</v>
      </c>
      <c r="L136" s="1046">
        <v>330585.5</v>
      </c>
      <c r="M136" s="1046">
        <v>330585.5</v>
      </c>
      <c r="N136" s="1046">
        <v>330585.5</v>
      </c>
      <c r="O136" s="1046">
        <v>330585.5</v>
      </c>
      <c r="P136" s="1046">
        <v>161848.96614999999</v>
      </c>
      <c r="Q136" s="1046">
        <v>48.958277404786358</v>
      </c>
      <c r="R136" s="1046">
        <v>168736.53385000001</v>
      </c>
    </row>
    <row r="137" spans="1:18" ht="110.25" x14ac:dyDescent="0.2">
      <c r="A137" s="123" t="s">
        <v>301</v>
      </c>
      <c r="B137" s="232" t="s">
        <v>63</v>
      </c>
      <c r="C137" s="558">
        <v>1409.4</v>
      </c>
      <c r="D137" s="713">
        <f t="shared" ref="D137:E137" si="110">C137</f>
        <v>1409.4</v>
      </c>
      <c r="E137" s="713">
        <f t="shared" si="110"/>
        <v>1409.4</v>
      </c>
      <c r="F137" s="713">
        <v>1409.4</v>
      </c>
      <c r="G137" s="713">
        <v>1409.4</v>
      </c>
      <c r="H137" s="713">
        <v>1409.4</v>
      </c>
      <c r="I137" s="713">
        <v>1409.4</v>
      </c>
      <c r="J137" s="713">
        <v>1409.4</v>
      </c>
      <c r="K137" s="713">
        <v>1409.4</v>
      </c>
      <c r="L137" s="713">
        <v>1409.4</v>
      </c>
      <c r="M137" s="713">
        <v>1409.4</v>
      </c>
      <c r="N137" s="713">
        <v>1409.4</v>
      </c>
      <c r="O137" s="713">
        <v>1409.4</v>
      </c>
      <c r="P137" s="573">
        <v>0</v>
      </c>
      <c r="Q137" s="573">
        <v>0</v>
      </c>
      <c r="R137" s="573">
        <v>1409.4</v>
      </c>
    </row>
    <row r="138" spans="1:18" ht="31.5" x14ac:dyDescent="0.2">
      <c r="A138" s="123" t="s">
        <v>321</v>
      </c>
      <c r="B138" s="232" t="s">
        <v>63</v>
      </c>
      <c r="C138" s="558">
        <v>140000</v>
      </c>
      <c r="D138" s="713">
        <f t="shared" ref="D138:E138" si="111">C138</f>
        <v>140000</v>
      </c>
      <c r="E138" s="713">
        <f t="shared" si="111"/>
        <v>140000</v>
      </c>
      <c r="F138" s="713">
        <v>140000</v>
      </c>
      <c r="G138" s="713">
        <v>140000</v>
      </c>
      <c r="H138" s="713">
        <v>140000</v>
      </c>
      <c r="I138" s="713">
        <v>140000</v>
      </c>
      <c r="J138" s="713">
        <v>140000</v>
      </c>
      <c r="K138" s="713">
        <v>140000</v>
      </c>
      <c r="L138" s="713">
        <v>140000</v>
      </c>
      <c r="M138" s="713">
        <v>140000</v>
      </c>
      <c r="N138" s="713">
        <v>140000</v>
      </c>
      <c r="O138" s="713">
        <v>140000</v>
      </c>
      <c r="P138" s="573">
        <v>95000</v>
      </c>
      <c r="Q138" s="573">
        <v>67.857142857142861</v>
      </c>
      <c r="R138" s="573">
        <v>45000</v>
      </c>
    </row>
    <row r="139" spans="1:18" ht="78.75" x14ac:dyDescent="0.2">
      <c r="A139" s="123" t="s">
        <v>322</v>
      </c>
      <c r="B139" s="232" t="s">
        <v>63</v>
      </c>
      <c r="C139" s="558">
        <v>90277.5</v>
      </c>
      <c r="D139" s="713">
        <f t="shared" ref="D139:E139" si="112">C139</f>
        <v>90277.5</v>
      </c>
      <c r="E139" s="713">
        <f t="shared" si="112"/>
        <v>90277.5</v>
      </c>
      <c r="F139" s="713">
        <v>90277.5</v>
      </c>
      <c r="G139" s="713">
        <v>90277.5</v>
      </c>
      <c r="H139" s="713">
        <v>90277.5</v>
      </c>
      <c r="I139" s="713">
        <v>90277.5</v>
      </c>
      <c r="J139" s="713">
        <v>90277.5</v>
      </c>
      <c r="K139" s="713">
        <v>90277.5</v>
      </c>
      <c r="L139" s="713">
        <v>90277.5</v>
      </c>
      <c r="M139" s="713">
        <v>90277.5</v>
      </c>
      <c r="N139" s="713">
        <v>90277.5</v>
      </c>
      <c r="O139" s="713">
        <v>90277.5</v>
      </c>
      <c r="P139" s="573">
        <v>26004.091260000001</v>
      </c>
      <c r="Q139" s="573">
        <v>28.804620486832267</v>
      </c>
      <c r="R139" s="573">
        <v>64273.408739999999</v>
      </c>
    </row>
    <row r="140" spans="1:18" ht="99.75" customHeight="1" x14ac:dyDescent="0.2">
      <c r="A140" s="423" t="s">
        <v>320</v>
      </c>
      <c r="B140" s="232" t="s">
        <v>63</v>
      </c>
      <c r="C140" s="558">
        <v>555</v>
      </c>
      <c r="D140" s="713">
        <f t="shared" ref="D140:E140" si="113">C140</f>
        <v>555</v>
      </c>
      <c r="E140" s="713">
        <f t="shared" si="113"/>
        <v>555</v>
      </c>
      <c r="F140" s="713">
        <v>555</v>
      </c>
      <c r="G140" s="713">
        <v>555</v>
      </c>
      <c r="H140" s="713">
        <v>555</v>
      </c>
      <c r="I140" s="713">
        <v>555</v>
      </c>
      <c r="J140" s="713">
        <v>555</v>
      </c>
      <c r="K140" s="713">
        <v>555</v>
      </c>
      <c r="L140" s="713">
        <v>555</v>
      </c>
      <c r="M140" s="713">
        <v>555</v>
      </c>
      <c r="N140" s="713">
        <v>555</v>
      </c>
      <c r="O140" s="713">
        <v>555</v>
      </c>
      <c r="P140" s="573">
        <v>0</v>
      </c>
      <c r="Q140" s="573">
        <v>0</v>
      </c>
      <c r="R140" s="573">
        <v>555</v>
      </c>
    </row>
    <row r="141" spans="1:18" ht="47.25" x14ac:dyDescent="0.2">
      <c r="A141" s="423" t="s">
        <v>423</v>
      </c>
      <c r="B141" s="232" t="s">
        <v>63</v>
      </c>
      <c r="C141" s="558">
        <v>1000</v>
      </c>
      <c r="D141" s="713">
        <f t="shared" ref="D141:E141" si="114">C141</f>
        <v>1000</v>
      </c>
      <c r="E141" s="713">
        <f t="shared" si="114"/>
        <v>1000</v>
      </c>
      <c r="F141" s="713">
        <v>1000</v>
      </c>
      <c r="G141" s="713">
        <v>1000</v>
      </c>
      <c r="H141" s="713">
        <v>1000</v>
      </c>
      <c r="I141" s="713">
        <v>1000</v>
      </c>
      <c r="J141" s="713">
        <v>1000</v>
      </c>
      <c r="K141" s="713">
        <v>1000</v>
      </c>
      <c r="L141" s="713">
        <v>1000</v>
      </c>
      <c r="M141" s="713">
        <v>1000</v>
      </c>
      <c r="N141" s="713">
        <v>1000</v>
      </c>
      <c r="O141" s="713">
        <v>1000</v>
      </c>
      <c r="P141" s="573"/>
      <c r="Q141" s="573"/>
      <c r="R141" s="573">
        <v>1000</v>
      </c>
    </row>
    <row r="142" spans="1:18" ht="94.5" x14ac:dyDescent="0.2">
      <c r="A142" s="123" t="s">
        <v>318</v>
      </c>
      <c r="B142" s="232" t="s">
        <v>63</v>
      </c>
      <c r="C142" s="558">
        <v>1343.6</v>
      </c>
      <c r="D142" s="713">
        <f t="shared" ref="D142:E142" si="115">C142</f>
        <v>1343.6</v>
      </c>
      <c r="E142" s="713">
        <f t="shared" si="115"/>
        <v>1343.6</v>
      </c>
      <c r="F142" s="713">
        <v>1343.6</v>
      </c>
      <c r="G142" s="713">
        <v>1343.6</v>
      </c>
      <c r="H142" s="713">
        <v>1343.6</v>
      </c>
      <c r="I142" s="713">
        <v>1343.6</v>
      </c>
      <c r="J142" s="713">
        <v>1343.6</v>
      </c>
      <c r="K142" s="713">
        <v>1343.6</v>
      </c>
      <c r="L142" s="713">
        <v>1343.6</v>
      </c>
      <c r="M142" s="713">
        <v>1343.6</v>
      </c>
      <c r="N142" s="713">
        <v>1343.6</v>
      </c>
      <c r="O142" s="713">
        <v>1343.6</v>
      </c>
      <c r="P142" s="573">
        <v>464.71749999999997</v>
      </c>
      <c r="Q142" s="573">
        <v>34.587488835963086</v>
      </c>
      <c r="R142" s="573">
        <v>878.88249999999994</v>
      </c>
    </row>
    <row r="143" spans="1:18" ht="63" x14ac:dyDescent="0.2">
      <c r="A143" s="129" t="s">
        <v>302</v>
      </c>
      <c r="B143" s="232" t="s">
        <v>63</v>
      </c>
      <c r="C143" s="558">
        <v>9000</v>
      </c>
      <c r="D143" s="713">
        <f t="shared" ref="D143:E143" si="116">C143</f>
        <v>9000</v>
      </c>
      <c r="E143" s="713">
        <f t="shared" si="116"/>
        <v>9000</v>
      </c>
      <c r="F143" s="713">
        <v>9000</v>
      </c>
      <c r="G143" s="713">
        <v>9000</v>
      </c>
      <c r="H143" s="713">
        <v>9000</v>
      </c>
      <c r="I143" s="713">
        <v>9000</v>
      </c>
      <c r="J143" s="713">
        <v>9000</v>
      </c>
      <c r="K143" s="713">
        <v>9000</v>
      </c>
      <c r="L143" s="713">
        <v>9000</v>
      </c>
      <c r="M143" s="713">
        <v>9000</v>
      </c>
      <c r="N143" s="713">
        <v>9000</v>
      </c>
      <c r="O143" s="713">
        <v>9000</v>
      </c>
      <c r="P143" s="573">
        <v>9000</v>
      </c>
      <c r="Q143" s="573">
        <v>100</v>
      </c>
      <c r="R143" s="573">
        <v>0</v>
      </c>
    </row>
    <row r="144" spans="1:18" ht="220.5" x14ac:dyDescent="0.2">
      <c r="A144" s="123" t="s">
        <v>139</v>
      </c>
      <c r="B144" s="232" t="s">
        <v>63</v>
      </c>
      <c r="C144" s="558">
        <v>87000</v>
      </c>
      <c r="D144" s="713">
        <f t="shared" ref="D144:E144" si="117">C144</f>
        <v>87000</v>
      </c>
      <c r="E144" s="713">
        <f t="shared" si="117"/>
        <v>87000</v>
      </c>
      <c r="F144" s="713">
        <v>87000</v>
      </c>
      <c r="G144" s="713">
        <v>87000</v>
      </c>
      <c r="H144" s="713">
        <v>87000</v>
      </c>
      <c r="I144" s="713">
        <v>87000</v>
      </c>
      <c r="J144" s="713">
        <v>87000</v>
      </c>
      <c r="K144" s="713">
        <v>87000</v>
      </c>
      <c r="L144" s="713">
        <v>87000</v>
      </c>
      <c r="M144" s="713">
        <v>87000</v>
      </c>
      <c r="N144" s="713">
        <v>87000</v>
      </c>
      <c r="O144" s="713">
        <v>87000</v>
      </c>
      <c r="P144" s="573">
        <v>31380.15739</v>
      </c>
      <c r="Q144" s="573">
        <v>36.069146425287357</v>
      </c>
      <c r="R144" s="573">
        <v>55619.84261</v>
      </c>
    </row>
    <row r="145" spans="1:18" s="115" customFormat="1" x14ac:dyDescent="0.2">
      <c r="A145" s="113" t="s">
        <v>140</v>
      </c>
      <c r="B145" s="232" t="s">
        <v>67</v>
      </c>
      <c r="C145" s="1048">
        <f>C146+C147</f>
        <v>518827</v>
      </c>
      <c r="D145" s="1048">
        <f t="shared" ref="D145:E145" si="118">D146+D147</f>
        <v>518827</v>
      </c>
      <c r="E145" s="1048">
        <f t="shared" si="118"/>
        <v>518827</v>
      </c>
      <c r="F145" s="1048">
        <v>518827</v>
      </c>
      <c r="G145" s="1048">
        <v>518827</v>
      </c>
      <c r="H145" s="1048">
        <v>518827</v>
      </c>
      <c r="I145" s="1048">
        <v>518827</v>
      </c>
      <c r="J145" s="1048">
        <v>518827</v>
      </c>
      <c r="K145" s="1048">
        <v>518827</v>
      </c>
      <c r="L145" s="1048">
        <v>518827</v>
      </c>
      <c r="M145" s="1048">
        <v>518827</v>
      </c>
      <c r="N145" s="1048">
        <v>518827</v>
      </c>
      <c r="O145" s="1048">
        <v>518827</v>
      </c>
      <c r="P145" s="1048">
        <v>498621.67057000002</v>
      </c>
      <c r="Q145" s="1048">
        <v>96.066042445747811</v>
      </c>
      <c r="R145" s="1048">
        <v>20205.329430000042</v>
      </c>
    </row>
    <row r="146" spans="1:18" s="115" customFormat="1" x14ac:dyDescent="0.2">
      <c r="A146" s="420" t="s">
        <v>13</v>
      </c>
      <c r="B146" s="422" t="s">
        <v>63</v>
      </c>
      <c r="C146" s="1046">
        <f t="shared" ref="C146:E146" si="119">SUMIF($B$148:$B$161,"=01",C148:C161)</f>
        <v>508292.3</v>
      </c>
      <c r="D146" s="1046">
        <f t="shared" si="119"/>
        <v>508292.3</v>
      </c>
      <c r="E146" s="1046">
        <f t="shared" si="119"/>
        <v>508292.3</v>
      </c>
      <c r="F146" s="1046">
        <v>508292.3</v>
      </c>
      <c r="G146" s="1046">
        <v>508292.3</v>
      </c>
      <c r="H146" s="1046">
        <v>508292.3</v>
      </c>
      <c r="I146" s="1046">
        <v>508292.3</v>
      </c>
      <c r="J146" s="1046">
        <v>508292.3</v>
      </c>
      <c r="K146" s="1046">
        <v>508292.3</v>
      </c>
      <c r="L146" s="1046">
        <v>508292.3</v>
      </c>
      <c r="M146" s="1046">
        <v>508292.3</v>
      </c>
      <c r="N146" s="1046">
        <v>508292.3</v>
      </c>
      <c r="O146" s="1046">
        <v>508292.3</v>
      </c>
      <c r="P146" s="1046">
        <v>489097.86603999999</v>
      </c>
      <c r="Q146" s="1046">
        <v>96.223740953777963</v>
      </c>
      <c r="R146" s="1046">
        <v>19194.433960000042</v>
      </c>
    </row>
    <row r="147" spans="1:18" s="115" customFormat="1" x14ac:dyDescent="0.2">
      <c r="A147" s="420" t="s">
        <v>15</v>
      </c>
      <c r="B147" s="422" t="s">
        <v>64</v>
      </c>
      <c r="C147" s="1046">
        <f t="shared" ref="C147:E147" si="120">SUMIF($B$148:$B$161,"=02",C148:C161)</f>
        <v>10534.7</v>
      </c>
      <c r="D147" s="1046">
        <f t="shared" si="120"/>
        <v>10534.7</v>
      </c>
      <c r="E147" s="1046">
        <f t="shared" si="120"/>
        <v>10534.7</v>
      </c>
      <c r="F147" s="1046">
        <v>10534.7</v>
      </c>
      <c r="G147" s="1046">
        <v>10534.7</v>
      </c>
      <c r="H147" s="1046">
        <v>10534.7</v>
      </c>
      <c r="I147" s="1046">
        <v>10534.7</v>
      </c>
      <c r="J147" s="1046">
        <v>10534.7</v>
      </c>
      <c r="K147" s="1046">
        <v>10534.7</v>
      </c>
      <c r="L147" s="713">
        <v>10534.7</v>
      </c>
      <c r="M147" s="1046">
        <v>10534.7</v>
      </c>
      <c r="N147" s="1046">
        <v>10534.7</v>
      </c>
      <c r="O147" s="1046">
        <v>10534.7</v>
      </c>
      <c r="P147" s="1046">
        <v>9523.8045300000013</v>
      </c>
      <c r="Q147" s="1046">
        <v>88.457193845102381</v>
      </c>
      <c r="R147" s="1046">
        <v>1010.89547</v>
      </c>
    </row>
    <row r="148" spans="1:18" ht="63" x14ac:dyDescent="0.2">
      <c r="A148" s="123" t="s">
        <v>141</v>
      </c>
      <c r="B148" s="232" t="s">
        <v>63</v>
      </c>
      <c r="C148" s="558">
        <v>346153.4</v>
      </c>
      <c r="D148" s="713">
        <f t="shared" ref="D148:E152" si="121">C148</f>
        <v>346153.4</v>
      </c>
      <c r="E148" s="713">
        <f t="shared" si="121"/>
        <v>346153.4</v>
      </c>
      <c r="F148" s="713">
        <v>346153.4</v>
      </c>
      <c r="G148" s="713">
        <v>346153.4</v>
      </c>
      <c r="H148" s="713">
        <v>346153.4</v>
      </c>
      <c r="I148" s="713">
        <v>346153.4</v>
      </c>
      <c r="J148" s="713">
        <v>346153.4</v>
      </c>
      <c r="K148" s="713">
        <v>346153.4</v>
      </c>
      <c r="L148" s="713">
        <v>346153.4</v>
      </c>
      <c r="M148" s="713">
        <v>346153.4</v>
      </c>
      <c r="N148" s="713">
        <v>346153.4</v>
      </c>
      <c r="O148" s="713">
        <v>346153.4</v>
      </c>
      <c r="P148" s="573">
        <v>343427.93099999998</v>
      </c>
      <c r="Q148" s="573">
        <v>99.212641274070961</v>
      </c>
      <c r="R148" s="573">
        <v>2725.469000000041</v>
      </c>
    </row>
    <row r="149" spans="1:18" ht="47.25" x14ac:dyDescent="0.2">
      <c r="A149" s="123" t="s">
        <v>353</v>
      </c>
      <c r="B149" s="232" t="s">
        <v>63</v>
      </c>
      <c r="C149" s="558">
        <v>74826.899999999994</v>
      </c>
      <c r="D149" s="713">
        <f t="shared" si="121"/>
        <v>74826.899999999994</v>
      </c>
      <c r="E149" s="713">
        <f t="shared" si="121"/>
        <v>74826.899999999994</v>
      </c>
      <c r="F149" s="713">
        <v>74826.899999999994</v>
      </c>
      <c r="G149" s="713">
        <v>74826.899999999994</v>
      </c>
      <c r="H149" s="713">
        <v>74826.899999999994</v>
      </c>
      <c r="I149" s="713">
        <v>74826.899999999994</v>
      </c>
      <c r="J149" s="713">
        <v>74826.899999999994</v>
      </c>
      <c r="K149" s="713">
        <v>74826.899999999994</v>
      </c>
      <c r="L149" s="713">
        <v>74826.899999999994</v>
      </c>
      <c r="M149" s="713">
        <v>74826.899999999994</v>
      </c>
      <c r="N149" s="713">
        <v>74826.899999999994</v>
      </c>
      <c r="O149" s="713">
        <v>74826.899999999994</v>
      </c>
      <c r="P149" s="573">
        <v>74826.899999999994</v>
      </c>
      <c r="Q149" s="573">
        <v>100</v>
      </c>
      <c r="R149" s="573">
        <v>0</v>
      </c>
    </row>
    <row r="150" spans="1:18" ht="94.5" x14ac:dyDescent="0.2">
      <c r="A150" s="123" t="s">
        <v>143</v>
      </c>
      <c r="B150" s="232" t="s">
        <v>63</v>
      </c>
      <c r="C150" s="558">
        <v>36730.300000000003</v>
      </c>
      <c r="D150" s="713">
        <f t="shared" si="121"/>
        <v>36730.300000000003</v>
      </c>
      <c r="E150" s="713">
        <f t="shared" si="121"/>
        <v>36730.300000000003</v>
      </c>
      <c r="F150" s="713">
        <v>36730.300000000003</v>
      </c>
      <c r="G150" s="713">
        <v>36730.300000000003</v>
      </c>
      <c r="H150" s="713">
        <v>36730.300000000003</v>
      </c>
      <c r="I150" s="713">
        <v>36730.300000000003</v>
      </c>
      <c r="J150" s="713">
        <v>36730.300000000003</v>
      </c>
      <c r="K150" s="713">
        <v>36730.300000000003</v>
      </c>
      <c r="L150" s="713">
        <v>36730.300000000003</v>
      </c>
      <c r="M150" s="713">
        <v>36730.300000000003</v>
      </c>
      <c r="N150" s="713">
        <v>36730.300000000003</v>
      </c>
      <c r="O150" s="713">
        <v>36730.300000000003</v>
      </c>
      <c r="P150" s="573">
        <v>36050.07</v>
      </c>
      <c r="Q150" s="573">
        <v>98.148041262935493</v>
      </c>
      <c r="R150" s="573">
        <v>680.2300000000032</v>
      </c>
    </row>
    <row r="151" spans="1:18" ht="63" x14ac:dyDescent="0.2">
      <c r="A151" s="123" t="s">
        <v>145</v>
      </c>
      <c r="B151" s="232" t="s">
        <v>63</v>
      </c>
      <c r="C151" s="558">
        <v>15741.5</v>
      </c>
      <c r="D151" s="713">
        <f t="shared" si="121"/>
        <v>15741.5</v>
      </c>
      <c r="E151" s="713">
        <f t="shared" si="121"/>
        <v>15741.5</v>
      </c>
      <c r="F151" s="713">
        <v>15741.5</v>
      </c>
      <c r="G151" s="713">
        <v>15741.5</v>
      </c>
      <c r="H151" s="713">
        <v>15741.5</v>
      </c>
      <c r="I151" s="713">
        <v>15741.5</v>
      </c>
      <c r="J151" s="713">
        <v>15741.5</v>
      </c>
      <c r="K151" s="713">
        <v>15741.5</v>
      </c>
      <c r="L151" s="713">
        <v>15741.5</v>
      </c>
      <c r="M151" s="713">
        <v>15741.5</v>
      </c>
      <c r="N151" s="713">
        <v>15741.5</v>
      </c>
      <c r="O151" s="713">
        <v>15741.5</v>
      </c>
      <c r="P151" s="573"/>
      <c r="Q151" s="573">
        <v>0</v>
      </c>
      <c r="R151" s="573">
        <v>15741.5</v>
      </c>
    </row>
    <row r="152" spans="1:18" ht="141.75" x14ac:dyDescent="0.2">
      <c r="A152" s="423" t="s">
        <v>147</v>
      </c>
      <c r="B152" s="232" t="s">
        <v>63</v>
      </c>
      <c r="C152" s="558">
        <v>31483.1</v>
      </c>
      <c r="D152" s="713">
        <f t="shared" si="121"/>
        <v>31483.1</v>
      </c>
      <c r="E152" s="713">
        <f t="shared" si="121"/>
        <v>31483.1</v>
      </c>
      <c r="F152" s="713">
        <v>31483.1</v>
      </c>
      <c r="G152" s="713">
        <v>31483.1</v>
      </c>
      <c r="H152" s="713">
        <v>31483.1</v>
      </c>
      <c r="I152" s="713">
        <v>31483.1</v>
      </c>
      <c r="J152" s="713">
        <v>31483.1</v>
      </c>
      <c r="K152" s="713">
        <v>31483.1</v>
      </c>
      <c r="L152" s="713">
        <v>31483.1</v>
      </c>
      <c r="M152" s="713">
        <v>31483.1</v>
      </c>
      <c r="N152" s="713">
        <v>31483.1</v>
      </c>
      <c r="O152" s="713">
        <v>31483.1</v>
      </c>
      <c r="P152" s="573">
        <v>31483.1</v>
      </c>
      <c r="Q152" s="573">
        <v>100</v>
      </c>
      <c r="R152" s="573">
        <v>0</v>
      </c>
    </row>
    <row r="153" spans="1:18" ht="63" x14ac:dyDescent="0.2">
      <c r="A153" s="423" t="s">
        <v>305</v>
      </c>
      <c r="B153" s="232" t="s">
        <v>67</v>
      </c>
      <c r="C153" s="558"/>
      <c r="D153" s="713">
        <f t="shared" ref="D153:D158" si="122">C153</f>
        <v>0</v>
      </c>
      <c r="E153" s="713">
        <f t="shared" ref="E153:E158" si="123">D153</f>
        <v>0</v>
      </c>
      <c r="F153" s="713">
        <v>0</v>
      </c>
      <c r="G153" s="713">
        <v>0</v>
      </c>
      <c r="H153" s="713">
        <v>0</v>
      </c>
      <c r="I153" s="713">
        <v>0</v>
      </c>
      <c r="J153" s="713">
        <v>0</v>
      </c>
      <c r="K153" s="713">
        <v>0</v>
      </c>
      <c r="L153" s="713">
        <v>0</v>
      </c>
      <c r="M153" s="713">
        <v>0</v>
      </c>
      <c r="N153" s="713">
        <v>0</v>
      </c>
      <c r="O153" s="713">
        <v>0</v>
      </c>
      <c r="P153" s="573"/>
      <c r="Q153" s="573"/>
      <c r="R153" s="573">
        <v>0</v>
      </c>
    </row>
    <row r="154" spans="1:18" x14ac:dyDescent="0.2">
      <c r="A154" s="420" t="s">
        <v>13</v>
      </c>
      <c r="B154" s="232" t="s">
        <v>63</v>
      </c>
      <c r="C154" s="558">
        <v>17.7</v>
      </c>
      <c r="D154" s="713">
        <f t="shared" si="122"/>
        <v>17.7</v>
      </c>
      <c r="E154" s="713">
        <f t="shared" si="123"/>
        <v>17.7</v>
      </c>
      <c r="F154" s="713">
        <v>17.7</v>
      </c>
      <c r="G154" s="713">
        <v>17.7</v>
      </c>
      <c r="H154" s="713">
        <v>17.7</v>
      </c>
      <c r="I154" s="713">
        <v>17.7</v>
      </c>
      <c r="J154" s="713">
        <v>17.7</v>
      </c>
      <c r="K154" s="713">
        <v>17.7</v>
      </c>
      <c r="L154" s="713">
        <v>17.7</v>
      </c>
      <c r="M154" s="713">
        <v>17.7</v>
      </c>
      <c r="N154" s="713">
        <v>17.7</v>
      </c>
      <c r="O154" s="713">
        <v>17.7</v>
      </c>
      <c r="P154" s="573">
        <v>16.765040000000003</v>
      </c>
      <c r="Q154" s="573">
        <v>94.717740112994363</v>
      </c>
      <c r="R154" s="573">
        <v>0.93495999999999668</v>
      </c>
    </row>
    <row r="155" spans="1:18" x14ac:dyDescent="0.2">
      <c r="A155" s="420" t="s">
        <v>15</v>
      </c>
      <c r="B155" s="232" t="s">
        <v>64</v>
      </c>
      <c r="C155" s="558">
        <v>337.1</v>
      </c>
      <c r="D155" s="713">
        <f t="shared" si="122"/>
        <v>337.1</v>
      </c>
      <c r="E155" s="713">
        <f t="shared" si="123"/>
        <v>337.1</v>
      </c>
      <c r="F155" s="713">
        <v>337.1</v>
      </c>
      <c r="G155" s="713">
        <v>337.1</v>
      </c>
      <c r="H155" s="713">
        <v>337.1</v>
      </c>
      <c r="I155" s="713">
        <v>337.1</v>
      </c>
      <c r="J155" s="713">
        <v>337.1</v>
      </c>
      <c r="K155" s="713">
        <v>337.1</v>
      </c>
      <c r="L155" s="713">
        <v>337.1</v>
      </c>
      <c r="M155" s="713">
        <v>337.1</v>
      </c>
      <c r="N155" s="713">
        <v>337.1</v>
      </c>
      <c r="O155" s="713">
        <v>337.1</v>
      </c>
      <c r="P155" s="573">
        <v>0</v>
      </c>
      <c r="Q155" s="573">
        <v>0</v>
      </c>
      <c r="R155" s="573">
        <v>337.1</v>
      </c>
    </row>
    <row r="156" spans="1:18" ht="63" x14ac:dyDescent="0.2">
      <c r="A156" s="423" t="s">
        <v>306</v>
      </c>
      <c r="B156" s="232"/>
      <c r="C156" s="558"/>
      <c r="D156" s="713">
        <f t="shared" si="122"/>
        <v>0</v>
      </c>
      <c r="E156" s="713">
        <f t="shared" si="123"/>
        <v>0</v>
      </c>
      <c r="F156" s="713">
        <v>0</v>
      </c>
      <c r="G156" s="713">
        <v>0</v>
      </c>
      <c r="H156" s="713">
        <v>0</v>
      </c>
      <c r="I156" s="713">
        <v>0</v>
      </c>
      <c r="J156" s="713">
        <v>0</v>
      </c>
      <c r="K156" s="713">
        <v>0</v>
      </c>
      <c r="L156" s="713">
        <v>0</v>
      </c>
      <c r="M156" s="713">
        <v>0</v>
      </c>
      <c r="N156" s="713">
        <v>0</v>
      </c>
      <c r="O156" s="713">
        <v>0</v>
      </c>
      <c r="P156" s="573"/>
      <c r="Q156" s="573"/>
      <c r="R156" s="573">
        <v>0</v>
      </c>
    </row>
    <row r="157" spans="1:18" x14ac:dyDescent="0.2">
      <c r="A157" s="420" t="s">
        <v>13</v>
      </c>
      <c r="B157" s="232" t="s">
        <v>63</v>
      </c>
      <c r="C157" s="558">
        <v>46.3</v>
      </c>
      <c r="D157" s="713">
        <f t="shared" si="122"/>
        <v>46.3</v>
      </c>
      <c r="E157" s="713">
        <f t="shared" si="123"/>
        <v>46.3</v>
      </c>
      <c r="F157" s="713">
        <v>46.3</v>
      </c>
      <c r="G157" s="713">
        <v>46.3</v>
      </c>
      <c r="H157" s="713">
        <v>46.3</v>
      </c>
      <c r="I157" s="713">
        <v>46.3</v>
      </c>
      <c r="J157" s="713">
        <v>46.3</v>
      </c>
      <c r="K157" s="713">
        <v>46.3</v>
      </c>
      <c r="L157" s="713">
        <v>46.3</v>
      </c>
      <c r="M157" s="713">
        <v>46.3</v>
      </c>
      <c r="N157" s="713">
        <v>46.3</v>
      </c>
      <c r="O157" s="713">
        <v>46.3</v>
      </c>
      <c r="P157" s="573">
        <v>0</v>
      </c>
      <c r="Q157" s="573">
        <v>0</v>
      </c>
      <c r="R157" s="573">
        <v>46.3</v>
      </c>
    </row>
    <row r="158" spans="1:18" x14ac:dyDescent="0.2">
      <c r="A158" s="420" t="s">
        <v>15</v>
      </c>
      <c r="B158" s="232" t="s">
        <v>64</v>
      </c>
      <c r="C158" s="558">
        <v>878.9</v>
      </c>
      <c r="D158" s="713">
        <f t="shared" si="122"/>
        <v>878.9</v>
      </c>
      <c r="E158" s="713">
        <f t="shared" si="123"/>
        <v>878.9</v>
      </c>
      <c r="F158" s="713">
        <v>878.9</v>
      </c>
      <c r="G158" s="713">
        <v>878.9</v>
      </c>
      <c r="H158" s="713">
        <v>878.9</v>
      </c>
      <c r="I158" s="713">
        <v>878.9</v>
      </c>
      <c r="J158" s="713">
        <v>878.9</v>
      </c>
      <c r="K158" s="713">
        <v>878.9</v>
      </c>
      <c r="L158" s="713">
        <v>878.9</v>
      </c>
      <c r="M158" s="713">
        <v>878.9</v>
      </c>
      <c r="N158" s="713">
        <v>878.9</v>
      </c>
      <c r="O158" s="713">
        <v>878.9</v>
      </c>
      <c r="P158" s="573">
        <v>205.10453000000001</v>
      </c>
      <c r="Q158" s="573">
        <v>0</v>
      </c>
      <c r="R158" s="573">
        <v>673.79547000000002</v>
      </c>
    </row>
    <row r="159" spans="1:18" ht="31.5" x14ac:dyDescent="0.2">
      <c r="A159" s="123" t="s">
        <v>296</v>
      </c>
      <c r="B159" s="232" t="s">
        <v>67</v>
      </c>
      <c r="C159" s="558"/>
      <c r="D159" s="713">
        <f t="shared" ref="D159:E161" si="124">C159</f>
        <v>0</v>
      </c>
      <c r="E159" s="713">
        <f t="shared" si="124"/>
        <v>0</v>
      </c>
      <c r="F159" s="713">
        <v>0</v>
      </c>
      <c r="G159" s="713">
        <v>0</v>
      </c>
      <c r="H159" s="713">
        <v>0</v>
      </c>
      <c r="I159" s="713">
        <v>0</v>
      </c>
      <c r="J159" s="713">
        <v>0</v>
      </c>
      <c r="K159" s="713">
        <v>0</v>
      </c>
      <c r="L159" s="713">
        <v>0</v>
      </c>
      <c r="M159" s="713">
        <v>0</v>
      </c>
      <c r="N159" s="713">
        <v>0</v>
      </c>
      <c r="O159" s="713">
        <v>0</v>
      </c>
      <c r="P159" s="573"/>
      <c r="Q159" s="573"/>
      <c r="R159" s="573">
        <v>0</v>
      </c>
    </row>
    <row r="160" spans="1:18" x14ac:dyDescent="0.2">
      <c r="A160" s="420" t="s">
        <v>13</v>
      </c>
      <c r="B160" s="232" t="s">
        <v>63</v>
      </c>
      <c r="C160" s="558">
        <v>3293.1</v>
      </c>
      <c r="D160" s="713">
        <f t="shared" si="124"/>
        <v>3293.1</v>
      </c>
      <c r="E160" s="713">
        <f t="shared" si="124"/>
        <v>3293.1</v>
      </c>
      <c r="F160" s="713">
        <v>3293.1</v>
      </c>
      <c r="G160" s="713">
        <v>3293.1</v>
      </c>
      <c r="H160" s="713">
        <v>3293.1</v>
      </c>
      <c r="I160" s="713">
        <v>3293.1</v>
      </c>
      <c r="J160" s="713">
        <v>3293.1</v>
      </c>
      <c r="K160" s="713">
        <v>3293.1</v>
      </c>
      <c r="L160" s="713">
        <v>3293.1</v>
      </c>
      <c r="M160" s="713">
        <v>3293.1</v>
      </c>
      <c r="N160" s="713">
        <v>3293.1</v>
      </c>
      <c r="O160" s="713">
        <v>3293.1</v>
      </c>
      <c r="P160" s="573">
        <v>3293.1</v>
      </c>
      <c r="Q160" s="573">
        <v>100</v>
      </c>
      <c r="R160" s="573">
        <v>0</v>
      </c>
    </row>
    <row r="161" spans="1:18" x14ac:dyDescent="0.2">
      <c r="A161" s="420" t="s">
        <v>15</v>
      </c>
      <c r="B161" s="232" t="s">
        <v>64</v>
      </c>
      <c r="C161" s="558">
        <v>9318.7000000000007</v>
      </c>
      <c r="D161" s="713">
        <f t="shared" si="124"/>
        <v>9318.7000000000007</v>
      </c>
      <c r="E161" s="713">
        <f t="shared" si="124"/>
        <v>9318.7000000000007</v>
      </c>
      <c r="F161" s="713">
        <v>9318.7000000000007</v>
      </c>
      <c r="G161" s="713">
        <v>9318.7000000000007</v>
      </c>
      <c r="H161" s="713">
        <v>9318.7000000000007</v>
      </c>
      <c r="I161" s="713">
        <v>9318.7000000000007</v>
      </c>
      <c r="J161" s="713">
        <v>9318.7000000000007</v>
      </c>
      <c r="K161" s="713">
        <v>9318.7000000000007</v>
      </c>
      <c r="L161" s="713">
        <v>9318.7000000000007</v>
      </c>
      <c r="M161" s="713">
        <v>9318.7000000000007</v>
      </c>
      <c r="N161" s="713">
        <v>9318.7000000000007</v>
      </c>
      <c r="O161" s="713">
        <v>9318.7000000000007</v>
      </c>
      <c r="P161" s="573">
        <v>9318.7000000000007</v>
      </c>
      <c r="Q161" s="573">
        <v>100</v>
      </c>
      <c r="R161" s="573">
        <v>0</v>
      </c>
    </row>
    <row r="162" spans="1:18" s="115" customFormat="1" x14ac:dyDescent="0.2">
      <c r="A162" s="113" t="s">
        <v>149</v>
      </c>
      <c r="B162" s="422" t="s">
        <v>63</v>
      </c>
      <c r="C162" s="1048">
        <f>C163</f>
        <v>78600</v>
      </c>
      <c r="D162" s="1048">
        <f t="shared" ref="D162:E162" si="125">D163</f>
        <v>103600</v>
      </c>
      <c r="E162" s="1048">
        <f t="shared" si="125"/>
        <v>103600</v>
      </c>
      <c r="F162" s="1048">
        <v>103600</v>
      </c>
      <c r="G162" s="1048">
        <v>103600</v>
      </c>
      <c r="H162" s="1048">
        <v>103600</v>
      </c>
      <c r="I162" s="1048">
        <v>103600</v>
      </c>
      <c r="J162" s="1048">
        <v>103600</v>
      </c>
      <c r="K162" s="1048">
        <v>103600</v>
      </c>
      <c r="L162" s="1048">
        <v>103600</v>
      </c>
      <c r="M162" s="1048">
        <v>103600</v>
      </c>
      <c r="N162" s="1048">
        <v>103600</v>
      </c>
      <c r="O162" s="1048">
        <v>103600</v>
      </c>
      <c r="P162" s="1048">
        <v>44483.158499999998</v>
      </c>
      <c r="Q162" s="1048">
        <v>42.93741167953668</v>
      </c>
      <c r="R162" s="1048">
        <v>59116.841500000002</v>
      </c>
    </row>
    <row r="163" spans="1:18" s="115" customFormat="1" x14ac:dyDescent="0.2">
      <c r="A163" s="420" t="s">
        <v>13</v>
      </c>
      <c r="B163" s="422" t="s">
        <v>63</v>
      </c>
      <c r="C163" s="1046">
        <f t="shared" ref="C163:E163" si="126">SUMIF($B$164:$B$167,"=01",C164:C167)</f>
        <v>78600</v>
      </c>
      <c r="D163" s="1046">
        <f t="shared" si="126"/>
        <v>103600</v>
      </c>
      <c r="E163" s="1046">
        <f t="shared" si="126"/>
        <v>103600</v>
      </c>
      <c r="F163" s="1046">
        <v>103600</v>
      </c>
      <c r="G163" s="1046">
        <v>103600</v>
      </c>
      <c r="H163" s="1046">
        <v>103600</v>
      </c>
      <c r="I163" s="1046">
        <v>103600</v>
      </c>
      <c r="J163" s="1046">
        <v>103600</v>
      </c>
      <c r="K163" s="1046">
        <v>103600</v>
      </c>
      <c r="L163" s="1046">
        <v>103600</v>
      </c>
      <c r="M163" s="1046">
        <v>103600</v>
      </c>
      <c r="N163" s="1046">
        <v>103600</v>
      </c>
      <c r="O163" s="1046">
        <v>103600</v>
      </c>
      <c r="P163" s="1046">
        <v>44483.158499999998</v>
      </c>
      <c r="Q163" s="1046">
        <v>42.93741167953668</v>
      </c>
      <c r="R163" s="1046">
        <v>59116.841500000002</v>
      </c>
    </row>
    <row r="164" spans="1:18" ht="47.25" x14ac:dyDescent="0.2">
      <c r="A164" s="1034" t="s">
        <v>150</v>
      </c>
      <c r="B164" s="232" t="s">
        <v>63</v>
      </c>
      <c r="C164" s="558">
        <v>26000</v>
      </c>
      <c r="D164" s="1043">
        <f>C164+20000</f>
        <v>46000</v>
      </c>
      <c r="E164" s="713">
        <f t="shared" ref="E164:E167" si="127">D164</f>
        <v>46000</v>
      </c>
      <c r="F164" s="713">
        <v>46000</v>
      </c>
      <c r="G164" s="713">
        <v>46000</v>
      </c>
      <c r="H164" s="713">
        <v>46000</v>
      </c>
      <c r="I164" s="713">
        <v>46000</v>
      </c>
      <c r="J164" s="713">
        <v>46000</v>
      </c>
      <c r="K164" s="713">
        <v>46000</v>
      </c>
      <c r="L164" s="713">
        <v>46000</v>
      </c>
      <c r="M164" s="713">
        <v>46000</v>
      </c>
      <c r="N164" s="713">
        <v>46000</v>
      </c>
      <c r="O164" s="713">
        <v>46000</v>
      </c>
      <c r="P164" s="573">
        <v>44483.158499999998</v>
      </c>
      <c r="Q164" s="573">
        <v>96.70251847826087</v>
      </c>
      <c r="R164" s="573">
        <v>1516.8415000000023</v>
      </c>
    </row>
    <row r="165" spans="1:18" ht="47.25" x14ac:dyDescent="0.2">
      <c r="A165" s="1034" t="s">
        <v>531</v>
      </c>
      <c r="B165" s="232" t="s">
        <v>63</v>
      </c>
      <c r="C165" s="558"/>
      <c r="D165" s="1043">
        <v>5000</v>
      </c>
      <c r="E165" s="713">
        <f t="shared" si="127"/>
        <v>5000</v>
      </c>
      <c r="F165" s="713">
        <v>5000</v>
      </c>
      <c r="G165" s="713">
        <v>5000</v>
      </c>
      <c r="H165" s="713">
        <v>5000</v>
      </c>
      <c r="I165" s="713">
        <v>5000</v>
      </c>
      <c r="J165" s="713">
        <v>5000</v>
      </c>
      <c r="K165" s="713">
        <v>5000</v>
      </c>
      <c r="L165" s="713">
        <v>5000</v>
      </c>
      <c r="M165" s="713">
        <v>5000</v>
      </c>
      <c r="N165" s="713">
        <v>5000</v>
      </c>
      <c r="O165" s="713">
        <v>5000</v>
      </c>
      <c r="P165" s="573"/>
      <c r="Q165" s="573"/>
      <c r="R165" s="573">
        <v>5000</v>
      </c>
    </row>
    <row r="166" spans="1:18" ht="94.5" x14ac:dyDescent="0.2">
      <c r="A166" s="1033" t="s">
        <v>152</v>
      </c>
      <c r="B166" s="232" t="s">
        <v>63</v>
      </c>
      <c r="C166" s="558">
        <v>4000</v>
      </c>
      <c r="D166" s="713">
        <f>C166</f>
        <v>4000</v>
      </c>
      <c r="E166" s="713">
        <f t="shared" si="127"/>
        <v>4000</v>
      </c>
      <c r="F166" s="713">
        <v>4000</v>
      </c>
      <c r="G166" s="713">
        <v>4000</v>
      </c>
      <c r="H166" s="713">
        <v>4000</v>
      </c>
      <c r="I166" s="713">
        <v>4000</v>
      </c>
      <c r="J166" s="713">
        <v>4000</v>
      </c>
      <c r="K166" s="713">
        <v>4000</v>
      </c>
      <c r="L166" s="713">
        <v>4000</v>
      </c>
      <c r="M166" s="713">
        <v>4000</v>
      </c>
      <c r="N166" s="713">
        <v>4000</v>
      </c>
      <c r="O166" s="713">
        <v>4000</v>
      </c>
      <c r="P166" s="573">
        <v>0</v>
      </c>
      <c r="Q166" s="573">
        <v>0</v>
      </c>
      <c r="R166" s="573">
        <v>4000</v>
      </c>
    </row>
    <row r="167" spans="1:18" ht="78.75" x14ac:dyDescent="0.2">
      <c r="A167" s="1033" t="s">
        <v>154</v>
      </c>
      <c r="B167" s="232" t="s">
        <v>63</v>
      </c>
      <c r="C167" s="558">
        <v>48600</v>
      </c>
      <c r="D167" s="713">
        <f>C167</f>
        <v>48600</v>
      </c>
      <c r="E167" s="713">
        <f t="shared" si="127"/>
        <v>48600</v>
      </c>
      <c r="F167" s="713">
        <v>48600</v>
      </c>
      <c r="G167" s="713">
        <v>48600</v>
      </c>
      <c r="H167" s="713">
        <v>48600</v>
      </c>
      <c r="I167" s="713">
        <v>48600</v>
      </c>
      <c r="J167" s="713">
        <v>48600</v>
      </c>
      <c r="K167" s="713">
        <v>48600</v>
      </c>
      <c r="L167" s="713">
        <v>48600</v>
      </c>
      <c r="M167" s="713">
        <v>48600</v>
      </c>
      <c r="N167" s="713">
        <v>48600</v>
      </c>
      <c r="O167" s="713">
        <v>48600</v>
      </c>
      <c r="P167" s="573"/>
      <c r="Q167" s="573">
        <v>0</v>
      </c>
      <c r="R167" s="573">
        <v>48600</v>
      </c>
    </row>
    <row r="168" spans="1:18" s="115" customFormat="1" ht="33.75" customHeight="1" x14ac:dyDescent="0.2">
      <c r="A168" s="113" t="s">
        <v>156</v>
      </c>
      <c r="B168" s="422" t="s">
        <v>63</v>
      </c>
      <c r="C168" s="1048">
        <f>C169</f>
        <v>2047077.9</v>
      </c>
      <c r="D168" s="1048">
        <f t="shared" ref="D168:E168" si="128">D169</f>
        <v>2129120.9</v>
      </c>
      <c r="E168" s="1048">
        <f t="shared" si="128"/>
        <v>2129120.9</v>
      </c>
      <c r="F168" s="1048">
        <v>2269860.9000000004</v>
      </c>
      <c r="G168" s="1048">
        <v>2129120.9</v>
      </c>
      <c r="H168" s="1048">
        <v>2129120.9</v>
      </c>
      <c r="I168" s="1048">
        <v>2129120.9</v>
      </c>
      <c r="J168" s="1048">
        <v>2129120.9</v>
      </c>
      <c r="K168" s="1048">
        <v>2129120.9</v>
      </c>
      <c r="L168" s="1048">
        <v>2129120.9</v>
      </c>
      <c r="M168" s="1048">
        <v>2129120.9</v>
      </c>
      <c r="N168" s="1048">
        <v>2129120.9</v>
      </c>
      <c r="O168" s="1048">
        <v>2129120.9</v>
      </c>
      <c r="P168" s="1048">
        <v>920423.05816000002</v>
      </c>
      <c r="Q168" s="1048">
        <v>41.691846214893602</v>
      </c>
      <c r="R168" s="1048">
        <v>1208697.8418399999</v>
      </c>
    </row>
    <row r="169" spans="1:18" s="115" customFormat="1" x14ac:dyDescent="0.2">
      <c r="A169" s="420" t="s">
        <v>13</v>
      </c>
      <c r="B169" s="422" t="s">
        <v>63</v>
      </c>
      <c r="C169" s="1046">
        <f t="shared" ref="C169:E169" si="129">SUMIF($B$170:$B$185,"=01",C170:C185)</f>
        <v>2047077.9</v>
      </c>
      <c r="D169" s="1046">
        <f t="shared" si="129"/>
        <v>2129120.9</v>
      </c>
      <c r="E169" s="1046">
        <f t="shared" si="129"/>
        <v>2129120.9</v>
      </c>
      <c r="F169" s="1046">
        <v>2269860.9000000004</v>
      </c>
      <c r="G169" s="1046">
        <v>2129120.9</v>
      </c>
      <c r="H169" s="1046">
        <v>2129120.9</v>
      </c>
      <c r="I169" s="1046">
        <v>2129120.9</v>
      </c>
      <c r="J169" s="1046">
        <v>2129120.9</v>
      </c>
      <c r="K169" s="1046">
        <v>2129120.9</v>
      </c>
      <c r="L169" s="1046">
        <v>2129120.9</v>
      </c>
      <c r="M169" s="1046">
        <v>2129120.9</v>
      </c>
      <c r="N169" s="1046">
        <v>2129120.9</v>
      </c>
      <c r="O169" s="1046">
        <v>2129120.9</v>
      </c>
      <c r="P169" s="1046">
        <v>920423.05816000002</v>
      </c>
      <c r="Q169" s="1046">
        <v>41.691846214893602</v>
      </c>
      <c r="R169" s="1046">
        <v>1208697.8418399999</v>
      </c>
    </row>
    <row r="170" spans="1:18" s="131" customFormat="1" ht="31.5" x14ac:dyDescent="0.2">
      <c r="A170" s="130" t="s">
        <v>157</v>
      </c>
      <c r="B170" s="429"/>
      <c r="C170" s="1051">
        <f>SUM(C171:C173)</f>
        <v>476878.19999999995</v>
      </c>
      <c r="D170" s="1051">
        <f t="shared" ref="D170:E170" si="130">SUM(D171:D173)</f>
        <v>497928.19999999995</v>
      </c>
      <c r="E170" s="1051">
        <f t="shared" si="130"/>
        <v>497928.19999999995</v>
      </c>
      <c r="F170" s="1051">
        <v>516355.8</v>
      </c>
      <c r="G170" s="1051">
        <v>497928.19999999995</v>
      </c>
      <c r="H170" s="1051">
        <v>497928.19999999995</v>
      </c>
      <c r="I170" s="1051">
        <v>497928.19999999995</v>
      </c>
      <c r="J170" s="1051">
        <v>497928.19999999995</v>
      </c>
      <c r="K170" s="1051">
        <v>497928.19999999995</v>
      </c>
      <c r="L170" s="1051">
        <v>497928.19999999995</v>
      </c>
      <c r="M170" s="1051">
        <v>497928.19999999995</v>
      </c>
      <c r="N170" s="1051">
        <v>497928.19999999995</v>
      </c>
      <c r="O170" s="1051">
        <v>497928.19999999995</v>
      </c>
      <c r="P170" s="573">
        <v>232067.92015999998</v>
      </c>
      <c r="Q170" s="573">
        <v>45.22248421727808</v>
      </c>
      <c r="R170" s="573">
        <v>265860.27983999997</v>
      </c>
    </row>
    <row r="171" spans="1:18" x14ac:dyDescent="0.2">
      <c r="A171" s="1033" t="s">
        <v>158</v>
      </c>
      <c r="B171" s="232" t="s">
        <v>63</v>
      </c>
      <c r="C171" s="558">
        <v>280334</v>
      </c>
      <c r="D171" s="1043">
        <f>C171+6646</f>
        <v>286980</v>
      </c>
      <c r="E171" s="713">
        <f t="shared" ref="E171:E173" si="131">D171</f>
        <v>286980</v>
      </c>
      <c r="F171" s="713">
        <v>297976.59999999998</v>
      </c>
      <c r="G171" s="713">
        <v>286980</v>
      </c>
      <c r="H171" s="713">
        <v>286980</v>
      </c>
      <c r="I171" s="713">
        <v>286980</v>
      </c>
      <c r="J171" s="713">
        <v>286980</v>
      </c>
      <c r="K171" s="713">
        <v>286980</v>
      </c>
      <c r="L171" s="713">
        <v>286980</v>
      </c>
      <c r="M171" s="713">
        <v>286980</v>
      </c>
      <c r="N171" s="713">
        <v>286980</v>
      </c>
      <c r="O171" s="713">
        <v>286980</v>
      </c>
      <c r="P171" s="573">
        <v>140704.22016</v>
      </c>
      <c r="Q171" s="573">
        <v>47.703484152782472</v>
      </c>
      <c r="R171" s="573">
        <v>146275.77984</v>
      </c>
    </row>
    <row r="172" spans="1:18" s="105" customFormat="1" x14ac:dyDescent="0.2">
      <c r="A172" s="1033" t="s">
        <v>160</v>
      </c>
      <c r="B172" s="232" t="s">
        <v>63</v>
      </c>
      <c r="C172" s="558">
        <v>72904.800000000003</v>
      </c>
      <c r="D172" s="713">
        <f>C172</f>
        <v>72904.800000000003</v>
      </c>
      <c r="E172" s="713">
        <f t="shared" si="131"/>
        <v>72904.800000000003</v>
      </c>
      <c r="F172" s="713">
        <v>75881.2</v>
      </c>
      <c r="G172" s="713">
        <v>72904.800000000003</v>
      </c>
      <c r="H172" s="713">
        <v>72904.800000000003</v>
      </c>
      <c r="I172" s="713">
        <v>72904.800000000003</v>
      </c>
      <c r="J172" s="713">
        <v>72904.800000000003</v>
      </c>
      <c r="K172" s="713">
        <v>72904.800000000003</v>
      </c>
      <c r="L172" s="713">
        <v>72904.800000000003</v>
      </c>
      <c r="M172" s="713">
        <v>72904.800000000003</v>
      </c>
      <c r="N172" s="713">
        <v>72904.800000000003</v>
      </c>
      <c r="O172" s="713">
        <v>72904.800000000003</v>
      </c>
      <c r="P172" s="573">
        <v>30504.3</v>
      </c>
      <c r="Q172" s="573">
        <v>40.200075908130081</v>
      </c>
      <c r="R172" s="573">
        <v>42400.5</v>
      </c>
    </row>
    <row r="173" spans="1:18" s="105" customFormat="1" x14ac:dyDescent="0.2">
      <c r="A173" s="1033" t="s">
        <v>161</v>
      </c>
      <c r="B173" s="232" t="s">
        <v>63</v>
      </c>
      <c r="C173" s="558">
        <v>123639.4</v>
      </c>
      <c r="D173" s="1043">
        <f>C173+14404</f>
        <v>138043.4</v>
      </c>
      <c r="E173" s="713">
        <f t="shared" si="131"/>
        <v>138043.4</v>
      </c>
      <c r="F173" s="713">
        <v>142498</v>
      </c>
      <c r="G173" s="713">
        <v>138043.4</v>
      </c>
      <c r="H173" s="713">
        <v>138043.4</v>
      </c>
      <c r="I173" s="713">
        <v>138043.4</v>
      </c>
      <c r="J173" s="713">
        <v>138043.4</v>
      </c>
      <c r="K173" s="713">
        <v>138043.4</v>
      </c>
      <c r="L173" s="713">
        <v>138043.4</v>
      </c>
      <c r="M173" s="713">
        <v>138043.4</v>
      </c>
      <c r="N173" s="713">
        <v>138043.4</v>
      </c>
      <c r="O173" s="713">
        <v>138043.4</v>
      </c>
      <c r="P173" s="573">
        <v>60859.4</v>
      </c>
      <c r="Q173" s="573">
        <v>42.708950301056859</v>
      </c>
      <c r="R173" s="573">
        <v>77184</v>
      </c>
    </row>
    <row r="174" spans="1:18" s="133" customFormat="1" ht="31.5" x14ac:dyDescent="0.2">
      <c r="A174" s="130" t="s">
        <v>162</v>
      </c>
      <c r="B174" s="429"/>
      <c r="C174" s="1051">
        <f>SUM(C175:C178)</f>
        <v>1339395.7</v>
      </c>
      <c r="D174" s="1051">
        <f>SUM(D175:D178)</f>
        <v>1386412.1</v>
      </c>
      <c r="E174" s="1051">
        <f>SUM(E175:E178)</f>
        <v>1386412.1</v>
      </c>
      <c r="F174" s="1051">
        <v>1502479.2000000002</v>
      </c>
      <c r="G174" s="1051">
        <v>1386412.1</v>
      </c>
      <c r="H174" s="1044">
        <v>1386412.1</v>
      </c>
      <c r="I174" s="1052">
        <v>1386412.1</v>
      </c>
      <c r="J174" s="1052">
        <v>1386412.1</v>
      </c>
      <c r="K174" s="1052">
        <v>1386412.1</v>
      </c>
      <c r="L174" s="713">
        <v>1386412.1</v>
      </c>
      <c r="M174" s="1052">
        <v>1386412.1</v>
      </c>
      <c r="N174" s="1052">
        <v>1386412.1</v>
      </c>
      <c r="O174" s="713">
        <v>1386412.1</v>
      </c>
      <c r="P174" s="573">
        <v>598934.4</v>
      </c>
      <c r="Q174" s="573">
        <v>39.86307431077914</v>
      </c>
      <c r="R174" s="573">
        <v>787477.70000000007</v>
      </c>
    </row>
    <row r="175" spans="1:18" s="105" customFormat="1" ht="20.25" customHeight="1" x14ac:dyDescent="0.2">
      <c r="A175" s="1033" t="s">
        <v>163</v>
      </c>
      <c r="B175" s="232" t="s">
        <v>63</v>
      </c>
      <c r="C175" s="558">
        <v>32350.3</v>
      </c>
      <c r="D175" s="1043">
        <f>C175+18950</f>
        <v>51300.3</v>
      </c>
      <c r="E175" s="713">
        <f t="shared" ref="E175:E177" si="132">D175</f>
        <v>51300.3</v>
      </c>
      <c r="F175" s="713">
        <v>53569.200000000004</v>
      </c>
      <c r="G175" s="713">
        <v>51300.3</v>
      </c>
      <c r="H175" s="713">
        <v>51300.3</v>
      </c>
      <c r="I175" s="713">
        <v>51300.3</v>
      </c>
      <c r="J175" s="713">
        <v>51300.3</v>
      </c>
      <c r="K175" s="713">
        <v>51300.3</v>
      </c>
      <c r="L175" s="713">
        <v>51300.3</v>
      </c>
      <c r="M175" s="713">
        <v>51300.3</v>
      </c>
      <c r="N175" s="713">
        <v>51300.3</v>
      </c>
      <c r="O175" s="713">
        <v>51300.3</v>
      </c>
      <c r="P175" s="573">
        <v>13557.8</v>
      </c>
      <c r="Q175" s="573">
        <v>25.308946185494648</v>
      </c>
      <c r="R175" s="573">
        <v>37742.5</v>
      </c>
    </row>
    <row r="176" spans="1:18" s="105" customFormat="1" ht="18.75" customHeight="1" x14ac:dyDescent="0.2">
      <c r="A176" s="134" t="s">
        <v>164</v>
      </c>
      <c r="B176" s="430" t="s">
        <v>63</v>
      </c>
      <c r="C176" s="558">
        <v>1037666.4</v>
      </c>
      <c r="D176" s="713">
        <f>C176</f>
        <v>1037666.4</v>
      </c>
      <c r="E176" s="713">
        <f t="shared" si="132"/>
        <v>1037666.4</v>
      </c>
      <c r="F176" s="713">
        <v>1151464.6000000001</v>
      </c>
      <c r="G176" s="713">
        <v>1037666.4</v>
      </c>
      <c r="H176" s="713">
        <v>1037666.4</v>
      </c>
      <c r="I176" s="713">
        <v>1037666.4</v>
      </c>
      <c r="J176" s="713">
        <v>1037666.4</v>
      </c>
      <c r="K176" s="713">
        <v>1037666.4</v>
      </c>
      <c r="L176" s="713">
        <v>1037666.4</v>
      </c>
      <c r="M176" s="713">
        <v>1037666.4</v>
      </c>
      <c r="N176" s="713">
        <v>1037666.4</v>
      </c>
      <c r="O176" s="713">
        <v>1037666.4</v>
      </c>
      <c r="P176" s="573">
        <v>489510.7</v>
      </c>
      <c r="Q176" s="573">
        <v>42.51200601390611</v>
      </c>
      <c r="R176" s="573">
        <v>548155.69999999995</v>
      </c>
    </row>
    <row r="177" spans="1:18" s="105" customFormat="1" ht="21" customHeight="1" x14ac:dyDescent="0.2">
      <c r="A177" s="1033" t="s">
        <v>165</v>
      </c>
      <c r="B177" s="232" t="s">
        <v>63</v>
      </c>
      <c r="C177" s="558">
        <v>268599</v>
      </c>
      <c r="D177" s="1043">
        <f>C177+28066.4</f>
        <v>296665.40000000002</v>
      </c>
      <c r="E177" s="713">
        <f t="shared" si="132"/>
        <v>296665.40000000002</v>
      </c>
      <c r="F177" s="713">
        <v>296665.40000000002</v>
      </c>
      <c r="G177" s="713">
        <v>296665.40000000002</v>
      </c>
      <c r="H177" s="713">
        <v>296665.40000000002</v>
      </c>
      <c r="I177" s="713">
        <v>296665.40000000002</v>
      </c>
      <c r="J177" s="713">
        <v>296665.40000000002</v>
      </c>
      <c r="K177" s="713">
        <v>296665.40000000002</v>
      </c>
      <c r="L177" s="713">
        <v>296665.40000000002</v>
      </c>
      <c r="M177" s="713">
        <v>296665.40000000002</v>
      </c>
      <c r="N177" s="713">
        <v>296665.40000000002</v>
      </c>
      <c r="O177" s="713">
        <v>296665.40000000002</v>
      </c>
      <c r="P177" s="573">
        <v>95829.8</v>
      </c>
      <c r="Q177" s="573">
        <v>32.302317695289034</v>
      </c>
      <c r="R177" s="573">
        <v>200835.60000000003</v>
      </c>
    </row>
    <row r="178" spans="1:18" s="105" customFormat="1" x14ac:dyDescent="0.2">
      <c r="A178" s="1030" t="s">
        <v>166</v>
      </c>
      <c r="B178" s="232" t="s">
        <v>63</v>
      </c>
      <c r="C178" s="558">
        <v>780</v>
      </c>
      <c r="D178" s="713">
        <f t="shared" ref="D178:D184" si="133">C178</f>
        <v>780</v>
      </c>
      <c r="E178" s="713">
        <f t="shared" ref="E178:E185" si="134">D178</f>
        <v>780</v>
      </c>
      <c r="F178" s="713">
        <v>780</v>
      </c>
      <c r="G178" s="713">
        <v>780</v>
      </c>
      <c r="H178" s="713">
        <v>780</v>
      </c>
      <c r="I178" s="713">
        <v>780</v>
      </c>
      <c r="J178" s="713">
        <v>780</v>
      </c>
      <c r="K178" s="713">
        <v>780</v>
      </c>
      <c r="L178" s="713">
        <v>780</v>
      </c>
      <c r="M178" s="713">
        <v>780</v>
      </c>
      <c r="N178" s="713">
        <v>780</v>
      </c>
      <c r="O178" s="713">
        <v>780</v>
      </c>
      <c r="P178" s="573">
        <v>36.1</v>
      </c>
      <c r="Q178" s="573">
        <v>4.6282051282051286</v>
      </c>
      <c r="R178" s="573">
        <v>743.9</v>
      </c>
    </row>
    <row r="179" spans="1:18" ht="110.25" x14ac:dyDescent="0.2">
      <c r="A179" s="123" t="s">
        <v>167</v>
      </c>
      <c r="B179" s="232" t="s">
        <v>63</v>
      </c>
      <c r="C179" s="558">
        <v>2805.8</v>
      </c>
      <c r="D179" s="713">
        <f t="shared" si="133"/>
        <v>2805.8</v>
      </c>
      <c r="E179" s="713">
        <f t="shared" si="134"/>
        <v>2805.8</v>
      </c>
      <c r="F179" s="713">
        <v>2805.8</v>
      </c>
      <c r="G179" s="713">
        <v>2805.8</v>
      </c>
      <c r="H179" s="713">
        <v>2805.8</v>
      </c>
      <c r="I179" s="713">
        <v>2805.8</v>
      </c>
      <c r="J179" s="713">
        <v>2805.8</v>
      </c>
      <c r="K179" s="713">
        <v>2805.8</v>
      </c>
      <c r="L179" s="713">
        <v>2805.8</v>
      </c>
      <c r="M179" s="713">
        <v>2805.8</v>
      </c>
      <c r="N179" s="713">
        <v>2805.8</v>
      </c>
      <c r="O179" s="713">
        <v>2805.8</v>
      </c>
      <c r="P179" s="573"/>
      <c r="Q179" s="573">
        <v>7.1280918098225108</v>
      </c>
      <c r="R179" s="573">
        <v>2805.8</v>
      </c>
    </row>
    <row r="180" spans="1:18" ht="47.25" x14ac:dyDescent="0.2">
      <c r="A180" s="122" t="s">
        <v>169</v>
      </c>
      <c r="B180" s="232" t="s">
        <v>63</v>
      </c>
      <c r="C180" s="558">
        <v>73202.399999999994</v>
      </c>
      <c r="D180" s="1043">
        <f>C180+1112.5</f>
        <v>74314.899999999994</v>
      </c>
      <c r="E180" s="713">
        <f t="shared" si="134"/>
        <v>74314.899999999994</v>
      </c>
      <c r="F180" s="713">
        <v>74314.899999999994</v>
      </c>
      <c r="G180" s="713">
        <v>74314.899999999994</v>
      </c>
      <c r="H180" s="713">
        <v>74314.899999999994</v>
      </c>
      <c r="I180" s="713">
        <v>74314.899999999994</v>
      </c>
      <c r="J180" s="713">
        <v>74314.899999999994</v>
      </c>
      <c r="K180" s="713">
        <v>74314.899999999994</v>
      </c>
      <c r="L180" s="713">
        <v>74314.899999999994</v>
      </c>
      <c r="M180" s="713">
        <v>74314.899999999994</v>
      </c>
      <c r="N180" s="713">
        <v>74314.899999999994</v>
      </c>
      <c r="O180" s="713">
        <v>74314.899999999994</v>
      </c>
      <c r="P180" s="573">
        <v>6499</v>
      </c>
      <c r="Q180" s="573">
        <v>19.795753529911231</v>
      </c>
      <c r="R180" s="573">
        <v>67815.899999999994</v>
      </c>
    </row>
    <row r="181" spans="1:18" ht="63" x14ac:dyDescent="0.2">
      <c r="A181" s="122" t="s">
        <v>171</v>
      </c>
      <c r="B181" s="232" t="s">
        <v>63</v>
      </c>
      <c r="C181" s="558">
        <v>2446.5</v>
      </c>
      <c r="D181" s="713">
        <f t="shared" si="133"/>
        <v>2446.5</v>
      </c>
      <c r="E181" s="713">
        <f t="shared" si="134"/>
        <v>2446.5</v>
      </c>
      <c r="F181" s="713">
        <v>2446.5</v>
      </c>
      <c r="G181" s="713">
        <v>2446.5</v>
      </c>
      <c r="H181" s="713">
        <v>2446.5</v>
      </c>
      <c r="I181" s="713">
        <v>2446.5</v>
      </c>
      <c r="J181" s="713">
        <v>2446.5</v>
      </c>
      <c r="K181" s="713">
        <v>2446.5</v>
      </c>
      <c r="L181" s="713">
        <v>2446.5</v>
      </c>
      <c r="M181" s="713">
        <v>2446.5</v>
      </c>
      <c r="N181" s="713">
        <v>2446.5</v>
      </c>
      <c r="O181" s="713">
        <v>2446.5</v>
      </c>
      <c r="P181" s="573">
        <v>137.84800000000001</v>
      </c>
      <c r="Q181" s="573">
        <v>26.593137952176583</v>
      </c>
      <c r="R181" s="573">
        <v>2308.652</v>
      </c>
    </row>
    <row r="182" spans="1:18" ht="31.5" x14ac:dyDescent="0.2">
      <c r="A182" s="122" t="s">
        <v>426</v>
      </c>
      <c r="B182" s="232" t="s">
        <v>63</v>
      </c>
      <c r="C182" s="558">
        <v>3500</v>
      </c>
      <c r="D182" s="713">
        <f t="shared" si="133"/>
        <v>3500</v>
      </c>
      <c r="E182" s="713">
        <f t="shared" si="134"/>
        <v>3500</v>
      </c>
      <c r="F182" s="713">
        <v>3500</v>
      </c>
      <c r="G182" s="713">
        <v>3500</v>
      </c>
      <c r="H182" s="713">
        <v>3500</v>
      </c>
      <c r="I182" s="713">
        <v>3500</v>
      </c>
      <c r="J182" s="713">
        <v>3500</v>
      </c>
      <c r="K182" s="713">
        <v>3500</v>
      </c>
      <c r="L182" s="713">
        <v>3500</v>
      </c>
      <c r="M182" s="713">
        <v>3500</v>
      </c>
      <c r="N182" s="713">
        <v>3500</v>
      </c>
      <c r="O182" s="713">
        <v>3500</v>
      </c>
      <c r="P182" s="573"/>
      <c r="Q182" s="573">
        <v>0</v>
      </c>
      <c r="R182" s="573">
        <v>3500</v>
      </c>
    </row>
    <row r="183" spans="1:18" ht="47.25" x14ac:dyDescent="0.2">
      <c r="A183" s="1033" t="s">
        <v>173</v>
      </c>
      <c r="B183" s="232" t="s">
        <v>63</v>
      </c>
      <c r="C183" s="558">
        <v>148010</v>
      </c>
      <c r="D183" s="1043">
        <f>C183+13203.4</f>
        <v>161213.4</v>
      </c>
      <c r="E183" s="713">
        <f t="shared" si="134"/>
        <v>161213.4</v>
      </c>
      <c r="F183" s="713">
        <v>167458.69999999998</v>
      </c>
      <c r="G183" s="713">
        <v>161213.4</v>
      </c>
      <c r="H183" s="713">
        <v>161213.4</v>
      </c>
      <c r="I183" s="713">
        <v>161213.4</v>
      </c>
      <c r="J183" s="713">
        <v>161213.4</v>
      </c>
      <c r="K183" s="713">
        <v>161213.4</v>
      </c>
      <c r="L183" s="713">
        <v>161213.4</v>
      </c>
      <c r="M183" s="713">
        <v>161213.4</v>
      </c>
      <c r="N183" s="713">
        <v>161213.4</v>
      </c>
      <c r="O183" s="713">
        <v>161213.4</v>
      </c>
      <c r="P183" s="573">
        <v>82783.89</v>
      </c>
      <c r="Q183" s="573">
        <v>58.726002291908394</v>
      </c>
      <c r="R183" s="573">
        <v>78429.509999999995</v>
      </c>
    </row>
    <row r="184" spans="1:18" ht="31.5" x14ac:dyDescent="0.2">
      <c r="A184" s="1033" t="s">
        <v>175</v>
      </c>
      <c r="B184" s="232" t="s">
        <v>63</v>
      </c>
      <c r="C184" s="558">
        <v>500</v>
      </c>
      <c r="D184" s="713">
        <f t="shared" si="133"/>
        <v>500</v>
      </c>
      <c r="E184" s="713">
        <f t="shared" si="134"/>
        <v>500</v>
      </c>
      <c r="F184" s="713">
        <v>500</v>
      </c>
      <c r="G184" s="713">
        <v>500</v>
      </c>
      <c r="H184" s="713">
        <v>500</v>
      </c>
      <c r="I184" s="713">
        <v>500</v>
      </c>
      <c r="J184" s="713">
        <v>500</v>
      </c>
      <c r="K184" s="713">
        <v>500</v>
      </c>
      <c r="L184" s="713">
        <v>500</v>
      </c>
      <c r="M184" s="713">
        <v>500</v>
      </c>
      <c r="N184" s="713">
        <v>500</v>
      </c>
      <c r="O184" s="713">
        <v>500</v>
      </c>
      <c r="P184" s="573"/>
      <c r="Q184" s="573">
        <v>0</v>
      </c>
      <c r="R184" s="573">
        <v>500</v>
      </c>
    </row>
    <row r="185" spans="1:18" ht="66" customHeight="1" x14ac:dyDescent="0.2">
      <c r="A185" s="1034" t="s">
        <v>177</v>
      </c>
      <c r="B185" s="232" t="s">
        <v>63</v>
      </c>
      <c r="C185" s="558">
        <v>339.3</v>
      </c>
      <c r="D185" s="1043">
        <f>C185-339.3</f>
        <v>0</v>
      </c>
      <c r="E185" s="713">
        <f t="shared" si="134"/>
        <v>0</v>
      </c>
      <c r="F185" s="713">
        <v>0</v>
      </c>
      <c r="G185" s="713">
        <v>0</v>
      </c>
      <c r="H185" s="713">
        <v>0</v>
      </c>
      <c r="I185" s="713">
        <v>0</v>
      </c>
      <c r="J185" s="713">
        <v>0</v>
      </c>
      <c r="K185" s="713">
        <v>0</v>
      </c>
      <c r="L185" s="713">
        <v>0</v>
      </c>
      <c r="M185" s="713">
        <v>0</v>
      </c>
      <c r="N185" s="713">
        <v>0</v>
      </c>
      <c r="O185" s="713">
        <v>0</v>
      </c>
      <c r="P185" s="573"/>
      <c r="Q185" s="573"/>
      <c r="R185" s="573">
        <v>0</v>
      </c>
    </row>
    <row r="186" spans="1:18" s="137" customFormat="1" x14ac:dyDescent="0.2">
      <c r="A186" s="136"/>
      <c r="B186" s="431"/>
      <c r="C186" s="136"/>
      <c r="D186" s="136"/>
      <c r="I186" s="136"/>
      <c r="J186" s="136"/>
      <c r="K186" s="713">
        <f>J186</f>
        <v>0</v>
      </c>
      <c r="L186" s="713">
        <f>K186</f>
        <v>0</v>
      </c>
      <c r="M186" s="713">
        <f>K186</f>
        <v>0</v>
      </c>
      <c r="N186" s="432">
        <f>I186</f>
        <v>0</v>
      </c>
      <c r="O186" s="713"/>
      <c r="P186" s="136"/>
      <c r="Q186" s="136"/>
      <c r="R186" s="136"/>
    </row>
    <row r="187" spans="1:18" x14ac:dyDescent="0.2">
      <c r="A187" s="139"/>
      <c r="B187" s="433"/>
      <c r="C187" s="141"/>
      <c r="D187" s="141"/>
      <c r="E187" s="142"/>
      <c r="F187" s="142"/>
      <c r="G187" s="142"/>
      <c r="H187" s="142"/>
      <c r="I187" s="143"/>
      <c r="J187" s="143"/>
      <c r="K187" s="143"/>
      <c r="L187" s="143"/>
      <c r="M187" s="143"/>
      <c r="N187" s="143"/>
      <c r="O187" s="143"/>
      <c r="P187" s="143"/>
      <c r="Q187" s="143"/>
      <c r="R187" s="143"/>
    </row>
    <row r="188" spans="1:18" x14ac:dyDescent="0.2">
      <c r="A188" s="139"/>
      <c r="B188" s="433"/>
      <c r="C188" s="141"/>
      <c r="D188" s="141"/>
      <c r="E188" s="142"/>
      <c r="F188" s="142"/>
      <c r="G188" s="142"/>
      <c r="H188" s="142"/>
      <c r="I188" s="143"/>
      <c r="J188" s="143"/>
      <c r="K188" s="143"/>
      <c r="L188" s="143"/>
      <c r="M188" s="143"/>
      <c r="N188" s="143"/>
      <c r="O188" s="143"/>
      <c r="P188" s="143"/>
      <c r="Q188" s="143"/>
      <c r="R188" s="143"/>
    </row>
    <row r="189" spans="1:18" x14ac:dyDescent="0.2">
      <c r="A189" s="139"/>
      <c r="B189" s="433"/>
      <c r="C189" s="139"/>
      <c r="D189" s="139"/>
    </row>
    <row r="190" spans="1:18" x14ac:dyDescent="0.2">
      <c r="A190" s="139"/>
      <c r="B190" s="433"/>
      <c r="C190" s="139"/>
      <c r="D190" s="139"/>
    </row>
    <row r="191" spans="1:18" x14ac:dyDescent="0.2">
      <c r="A191" s="139"/>
      <c r="B191" s="433"/>
      <c r="C191" s="139"/>
      <c r="D191" s="139"/>
    </row>
    <row r="192" spans="1:18" x14ac:dyDescent="0.2">
      <c r="A192" s="144"/>
      <c r="B192" s="433"/>
      <c r="C192" s="139"/>
      <c r="D192" s="139"/>
    </row>
    <row r="193" spans="1:4" x14ac:dyDescent="0.2">
      <c r="A193" s="139"/>
      <c r="B193" s="433"/>
      <c r="C193" s="139"/>
      <c r="D193" s="139"/>
    </row>
    <row r="194" spans="1:4" x14ac:dyDescent="0.2">
      <c r="A194" s="139"/>
      <c r="B194" s="433"/>
      <c r="C194" s="139"/>
      <c r="D194" s="139"/>
    </row>
    <row r="195" spans="1:4" x14ac:dyDescent="0.2">
      <c r="A195" s="139"/>
      <c r="B195" s="433"/>
      <c r="C195" s="139"/>
      <c r="D195" s="139"/>
    </row>
    <row r="196" spans="1:4" x14ac:dyDescent="0.2">
      <c r="A196" s="139"/>
      <c r="B196" s="433"/>
      <c r="C196" s="139"/>
      <c r="D196" s="139"/>
    </row>
    <row r="197" spans="1:4" x14ac:dyDescent="0.2">
      <c r="A197" s="139"/>
      <c r="B197" s="433"/>
      <c r="C197" s="139"/>
      <c r="D197" s="139"/>
    </row>
    <row r="198" spans="1:4" x14ac:dyDescent="0.2">
      <c r="A198" s="139"/>
      <c r="B198" s="433"/>
      <c r="C198" s="139"/>
      <c r="D198" s="139"/>
    </row>
    <row r="199" spans="1:4" x14ac:dyDescent="0.2">
      <c r="A199" s="139"/>
      <c r="B199" s="433"/>
      <c r="C199" s="139"/>
      <c r="D199" s="139"/>
    </row>
    <row r="200" spans="1:4" x14ac:dyDescent="0.2">
      <c r="A200" s="139"/>
      <c r="B200" s="433"/>
      <c r="C200" s="139"/>
      <c r="D200" s="139"/>
    </row>
    <row r="201" spans="1:4" x14ac:dyDescent="0.2">
      <c r="A201" s="139"/>
      <c r="B201" s="433"/>
      <c r="C201" s="139"/>
      <c r="D201" s="139"/>
    </row>
    <row r="202" spans="1:4" x14ac:dyDescent="0.2">
      <c r="A202" s="139"/>
      <c r="B202" s="433"/>
      <c r="C202" s="139"/>
      <c r="D202" s="139"/>
    </row>
    <row r="203" spans="1:4" x14ac:dyDescent="0.2">
      <c r="A203" s="139"/>
      <c r="B203" s="433"/>
      <c r="C203" s="139"/>
      <c r="D203" s="139"/>
    </row>
    <row r="204" spans="1:4" x14ac:dyDescent="0.2">
      <c r="A204" s="139"/>
      <c r="B204" s="433"/>
      <c r="C204" s="139"/>
      <c r="D204" s="139"/>
    </row>
    <row r="208" spans="1:4" x14ac:dyDescent="0.2">
      <c r="A208" s="870"/>
    </row>
  </sheetData>
  <autoFilter ref="A8:R186"/>
  <mergeCells count="20">
    <mergeCell ref="M5:M6"/>
    <mergeCell ref="L5:L6"/>
    <mergeCell ref="O5:O6"/>
    <mergeCell ref="R5:R6"/>
    <mergeCell ref="A1:R1"/>
    <mergeCell ref="E5:E6"/>
    <mergeCell ref="F5:F6"/>
    <mergeCell ref="A5:A6"/>
    <mergeCell ref="B5:B6"/>
    <mergeCell ref="C5:C6"/>
    <mergeCell ref="D5:D6"/>
    <mergeCell ref="G5:G6"/>
    <mergeCell ref="H5:H6"/>
    <mergeCell ref="I5:I6"/>
    <mergeCell ref="N5:N6"/>
    <mergeCell ref="P5:Q5"/>
    <mergeCell ref="J5:J6"/>
    <mergeCell ref="A2:R2"/>
    <mergeCell ref="A3:R3"/>
    <mergeCell ref="K5:K6"/>
  </mergeCells>
  <printOptions horizontalCentered="1"/>
  <pageMargins left="0.23622047244094491" right="0.23622047244094491" top="0.35433070866141736" bottom="0.35433070866141736" header="0.31496062992125984" footer="0.31496062992125984"/>
  <pageSetup paperSize="9" scale="60" orientation="portrait" r:id="rId1"/>
  <headerFooter alignWithMargins="0"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Q250"/>
  <sheetViews>
    <sheetView topLeftCell="A4" zoomScale="70" zoomScaleNormal="70" zoomScaleSheetLayoutView="70" workbookViewId="0">
      <pane xSplit="13" ySplit="5" topLeftCell="AI57" activePane="bottomRight" state="frozen"/>
      <selection activeCell="A4" sqref="A4"/>
      <selection pane="topRight" activeCell="N4" sqref="N4"/>
      <selection pane="bottomLeft" activeCell="A9" sqref="A9"/>
      <selection pane="bottomRight" activeCell="AL71" sqref="AL71"/>
    </sheetView>
  </sheetViews>
  <sheetFormatPr defaultColWidth="9.140625" defaultRowHeight="15.75" x14ac:dyDescent="0.2"/>
  <cols>
    <col min="1" max="1" width="60.5703125" style="105" customWidth="1"/>
    <col min="2" max="2" width="7.42578125" style="105" customWidth="1"/>
    <col min="3" max="3" width="16.28515625" style="105" customWidth="1"/>
    <col min="4" max="4" width="6.28515625" style="105" customWidth="1"/>
    <col min="5" max="5" width="7.28515625" style="105" customWidth="1"/>
    <col min="6" max="6" width="6.28515625" style="491" customWidth="1"/>
    <col min="7" max="7" width="25" style="105" customWidth="1"/>
    <col min="8" max="8" width="22" style="105" customWidth="1"/>
    <col min="9" max="9" width="23.28515625" style="105" customWidth="1"/>
    <col min="10" max="10" width="19.7109375" style="105" customWidth="1"/>
    <col min="11" max="11" width="21.85546875" style="110" customWidth="1"/>
    <col min="12" max="12" width="18.42578125" style="105" hidden="1" customWidth="1"/>
    <col min="13" max="13" width="18.140625" style="105" hidden="1" customWidth="1"/>
    <col min="14" max="14" width="18" style="105" customWidth="1"/>
    <col min="15" max="15" width="17.140625" style="105" hidden="1" customWidth="1"/>
    <col min="16" max="16" width="18.85546875" style="105" hidden="1" customWidth="1"/>
    <col min="17" max="17" width="19.85546875" style="143" hidden="1" customWidth="1"/>
    <col min="18" max="18" width="19.140625" style="105" customWidth="1"/>
    <col min="19" max="19" width="20.85546875" style="105" hidden="1" customWidth="1"/>
    <col min="20" max="20" width="21.140625" style="105" hidden="1" customWidth="1"/>
    <col min="21" max="21" width="22.28515625" style="105" hidden="1" customWidth="1"/>
    <col min="22" max="22" width="22" style="105" customWidth="1"/>
    <col min="23" max="23" width="20.7109375" style="105" hidden="1" customWidth="1"/>
    <col min="24" max="24" width="21.5703125" style="105" hidden="1" customWidth="1"/>
    <col min="25" max="25" width="21.42578125" style="105" hidden="1" customWidth="1"/>
    <col min="26" max="26" width="21.42578125" style="105" customWidth="1"/>
    <col min="27" max="27" width="13.7109375" style="105" customWidth="1"/>
    <col min="28" max="28" width="20.5703125" style="105" hidden="1" customWidth="1"/>
    <col min="29" max="29" width="19.5703125" style="105" hidden="1" customWidth="1"/>
    <col min="30" max="30" width="20.140625" style="105" customWidth="1"/>
    <col min="31" max="31" width="21.7109375" style="105" hidden="1" customWidth="1"/>
    <col min="32" max="32" width="21.5703125" style="105" customWidth="1"/>
    <col min="33" max="33" width="22" style="105" customWidth="1"/>
    <col min="34" max="34" width="21.28515625" style="105" customWidth="1"/>
    <col min="35" max="35" width="20.85546875" style="105" customWidth="1"/>
    <col min="36" max="37" width="20" style="105" customWidth="1"/>
    <col min="38" max="38" width="19" style="105" customWidth="1"/>
    <col min="39" max="39" width="20.42578125" style="105" customWidth="1"/>
    <col min="40" max="40" width="22.140625" style="105" customWidth="1"/>
    <col min="41" max="41" width="19.5703125" style="105" hidden="1" customWidth="1"/>
    <col min="42" max="42" width="19.7109375" style="105" hidden="1" customWidth="1"/>
    <col min="43" max="43" width="20.28515625" style="105" hidden="1" customWidth="1"/>
    <col min="44" max="44" width="20.140625" style="105" customWidth="1"/>
    <col min="45" max="45" width="19.140625" style="105" hidden="1" customWidth="1"/>
    <col min="46" max="46" width="19.42578125" style="105" hidden="1" customWidth="1"/>
    <col min="47" max="47" width="20.140625" style="105" hidden="1" customWidth="1"/>
    <col min="48" max="48" width="19.42578125" style="105" customWidth="1"/>
    <col min="49" max="49" width="20" style="105" hidden="1" customWidth="1"/>
    <col min="50" max="50" width="21.42578125" style="105" hidden="1" customWidth="1"/>
    <col min="51" max="51" width="20.42578125" style="105" hidden="1" customWidth="1"/>
    <col min="52" max="52" width="20.28515625" style="105" customWidth="1"/>
    <col min="53" max="53" width="19.85546875" style="105" hidden="1" customWidth="1"/>
    <col min="54" max="54" width="20.42578125" style="105" hidden="1" customWidth="1"/>
    <col min="55" max="55" width="20.7109375" style="105" hidden="1" customWidth="1"/>
    <col min="56" max="56" width="20.7109375" style="105" customWidth="1"/>
    <col min="57" max="57" width="20.28515625" style="105" hidden="1" customWidth="1"/>
    <col min="58" max="58" width="19.5703125" style="105" hidden="1" customWidth="1"/>
    <col min="59" max="59" width="21.85546875" style="105" hidden="1" customWidth="1"/>
    <col min="60" max="60" width="21" style="105" hidden="1" customWidth="1"/>
    <col min="61" max="61" width="3.42578125" style="148" customWidth="1"/>
    <col min="62" max="62" width="23.28515625" style="136" customWidth="1"/>
    <col min="63" max="63" width="19" style="136" customWidth="1"/>
    <col min="64" max="64" width="23.7109375" style="136" customWidth="1"/>
    <col min="65" max="65" width="20.140625" style="136" customWidth="1"/>
    <col min="66" max="66" width="18.7109375" style="105" customWidth="1"/>
    <col min="67" max="67" width="15.140625" style="105" customWidth="1"/>
    <col min="68" max="68" width="9.140625" style="105" customWidth="1"/>
    <col min="69" max="69" width="16.140625" style="105" customWidth="1"/>
    <col min="70" max="70" width="12.28515625" style="105" customWidth="1"/>
    <col min="71" max="16384" width="9.140625" style="105"/>
  </cols>
  <sheetData>
    <row r="1" spans="1:69" ht="20.25" hidden="1" x14ac:dyDescent="0.2">
      <c r="B1" s="146" t="s">
        <v>179</v>
      </c>
      <c r="C1" s="146"/>
      <c r="D1" s="146"/>
      <c r="E1" s="146"/>
      <c r="F1" s="490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7"/>
      <c r="R1" s="146"/>
      <c r="S1" s="146"/>
      <c r="T1" s="146"/>
      <c r="U1" s="146"/>
      <c r="V1" s="146"/>
      <c r="W1" s="146"/>
      <c r="X1" s="146"/>
      <c r="Y1" s="146"/>
      <c r="Z1" s="146"/>
      <c r="AA1" s="146"/>
      <c r="AB1" s="146"/>
      <c r="AC1" s="146"/>
      <c r="AD1" s="146"/>
      <c r="AE1" s="146"/>
      <c r="AF1" s="146"/>
      <c r="AG1" s="146"/>
      <c r="AH1" s="146"/>
      <c r="AI1" s="146"/>
      <c r="AJ1" s="146"/>
      <c r="AK1" s="146"/>
      <c r="AL1" s="146"/>
      <c r="AM1" s="146"/>
      <c r="AN1" s="146"/>
      <c r="AO1" s="146"/>
      <c r="AP1" s="146"/>
      <c r="AQ1" s="146"/>
      <c r="AR1" s="146"/>
      <c r="AS1" s="146"/>
      <c r="AT1" s="146"/>
      <c r="AU1" s="146"/>
      <c r="AV1" s="146"/>
      <c r="AW1" s="146"/>
      <c r="AX1" s="146"/>
      <c r="AY1" s="146"/>
      <c r="AZ1" s="146"/>
      <c r="BA1" s="146"/>
      <c r="BB1" s="146"/>
      <c r="BC1" s="146"/>
      <c r="BD1" s="146"/>
      <c r="BE1" s="146"/>
    </row>
    <row r="2" spans="1:69" ht="20.25" hidden="1" x14ac:dyDescent="0.2">
      <c r="B2" s="149" t="s">
        <v>439</v>
      </c>
      <c r="C2" s="149"/>
      <c r="D2" s="149"/>
      <c r="E2" s="149"/>
      <c r="G2" s="149"/>
      <c r="H2" s="149"/>
      <c r="I2" s="149"/>
      <c r="J2" s="149"/>
      <c r="K2" s="146"/>
      <c r="L2" s="149"/>
      <c r="M2" s="149"/>
      <c r="N2" s="149"/>
      <c r="O2" s="149"/>
      <c r="P2" s="149"/>
      <c r="Q2" s="150"/>
      <c r="R2" s="149"/>
      <c r="S2" s="149"/>
      <c r="T2" s="149"/>
      <c r="U2" s="149"/>
      <c r="V2" s="149"/>
      <c r="W2" s="149"/>
      <c r="X2" s="149"/>
      <c r="Y2" s="149"/>
      <c r="Z2" s="149"/>
      <c r="AA2" s="149"/>
      <c r="AB2" s="149"/>
      <c r="AC2" s="149"/>
      <c r="AD2" s="149"/>
      <c r="AE2" s="149"/>
      <c r="AF2" s="149"/>
      <c r="AG2" s="149"/>
      <c r="AH2" s="149"/>
      <c r="AI2" s="149"/>
      <c r="AJ2" s="149"/>
      <c r="AK2" s="149"/>
      <c r="AL2" s="149"/>
      <c r="AM2" s="149"/>
      <c r="AN2" s="149"/>
      <c r="AO2" s="149"/>
      <c r="AP2" s="149"/>
      <c r="AQ2" s="149"/>
      <c r="AR2" s="149"/>
      <c r="AS2" s="149"/>
      <c r="AT2" s="149"/>
      <c r="AU2" s="149"/>
      <c r="AV2" s="149"/>
      <c r="AW2" s="149"/>
      <c r="AX2" s="149"/>
      <c r="AY2" s="149"/>
      <c r="AZ2" s="149"/>
      <c r="BA2" s="149"/>
      <c r="BB2" s="149"/>
      <c r="BC2" s="149"/>
      <c r="BD2" s="149"/>
      <c r="BE2" s="149"/>
    </row>
    <row r="3" spans="1:69" ht="18.75" hidden="1" x14ac:dyDescent="0.2">
      <c r="B3" s="151" t="s">
        <v>180</v>
      </c>
      <c r="C3" s="151"/>
      <c r="D3" s="151"/>
      <c r="E3" s="151"/>
      <c r="F3" s="492"/>
      <c r="G3" s="151"/>
      <c r="H3" s="151"/>
      <c r="I3" s="151"/>
      <c r="J3" s="151"/>
      <c r="K3" s="151"/>
      <c r="L3" s="151"/>
      <c r="M3" s="151"/>
      <c r="N3" s="151"/>
      <c r="O3" s="151"/>
      <c r="P3" s="151"/>
      <c r="Q3" s="152"/>
      <c r="R3" s="151"/>
      <c r="S3" s="151"/>
      <c r="T3" s="151"/>
      <c r="U3" s="151"/>
      <c r="V3" s="151"/>
      <c r="W3" s="151"/>
      <c r="X3" s="151"/>
      <c r="Y3" s="151"/>
      <c r="Z3" s="151"/>
      <c r="AA3" s="151"/>
      <c r="AB3" s="151"/>
      <c r="AC3" s="151"/>
      <c r="AD3" s="151"/>
      <c r="AE3" s="151"/>
      <c r="AF3" s="151"/>
      <c r="AG3" s="151"/>
      <c r="AH3" s="151"/>
      <c r="AI3" s="151"/>
      <c r="AJ3" s="151"/>
      <c r="AK3" s="151"/>
      <c r="AL3" s="151"/>
      <c r="AM3" s="151"/>
      <c r="AN3" s="151"/>
      <c r="AO3" s="151"/>
      <c r="AP3" s="151"/>
      <c r="AQ3" s="151"/>
      <c r="AR3" s="151"/>
      <c r="AS3" s="151"/>
      <c r="AT3" s="151"/>
      <c r="AU3" s="151"/>
      <c r="AV3" s="151"/>
      <c r="AW3" s="151"/>
      <c r="AX3" s="151"/>
      <c r="AY3" s="151"/>
      <c r="AZ3" s="151"/>
      <c r="BA3" s="151"/>
      <c r="BB3" s="151"/>
      <c r="BC3" s="151"/>
      <c r="BD3" s="151"/>
      <c r="BE3" s="151"/>
      <c r="BF3" s="136"/>
      <c r="BG3" s="136"/>
      <c r="BH3" s="136"/>
      <c r="BI3" s="153"/>
    </row>
    <row r="4" spans="1:69" ht="19.5" x14ac:dyDescent="0.2">
      <c r="I4" s="136"/>
      <c r="J4" s="154"/>
      <c r="K4" s="155"/>
      <c r="L4" s="156"/>
      <c r="M4" s="136"/>
      <c r="N4" s="136"/>
      <c r="O4" s="136"/>
      <c r="P4" s="156"/>
      <c r="Q4" s="157"/>
      <c r="R4" s="158"/>
      <c r="S4" s="136"/>
      <c r="T4" s="156"/>
      <c r="U4" s="159"/>
      <c r="V4" s="158"/>
      <c r="W4" s="136"/>
      <c r="X4" s="158"/>
      <c r="Y4" s="158"/>
      <c r="Z4" s="158"/>
      <c r="AA4" s="136"/>
      <c r="AB4" s="158"/>
      <c r="AC4" s="160"/>
      <c r="AD4" s="160"/>
      <c r="AE4" s="136"/>
      <c r="AF4" s="158"/>
      <c r="AG4" s="158"/>
      <c r="AH4" s="158"/>
      <c r="AI4" s="136"/>
      <c r="AJ4" s="158"/>
      <c r="AK4" s="158"/>
      <c r="AL4" s="161"/>
      <c r="AM4" s="136"/>
      <c r="AN4" s="158"/>
      <c r="AO4" s="162"/>
      <c r="AP4" s="136"/>
      <c r="AQ4" s="136"/>
      <c r="AR4" s="158"/>
      <c r="AS4" s="158"/>
      <c r="AT4" s="136"/>
      <c r="AU4" s="136"/>
      <c r="AV4" s="136"/>
      <c r="AW4" s="136"/>
      <c r="AX4" s="136"/>
      <c r="AY4" s="136"/>
      <c r="AZ4" s="158"/>
      <c r="BA4" s="136"/>
      <c r="BB4" s="136"/>
      <c r="BC4" s="136"/>
      <c r="BD4" s="136"/>
      <c r="BE4" s="136"/>
      <c r="BF4" s="158"/>
      <c r="BG4" s="136"/>
      <c r="BH4" s="136"/>
      <c r="BI4" s="153"/>
      <c r="BJ4" s="158"/>
    </row>
    <row r="5" spans="1:69" x14ac:dyDescent="0.2">
      <c r="A5" s="1055" t="s">
        <v>181</v>
      </c>
      <c r="B5" s="1055" t="s">
        <v>182</v>
      </c>
      <c r="C5" s="1055" t="s">
        <v>183</v>
      </c>
      <c r="D5" s="1055" t="s">
        <v>184</v>
      </c>
      <c r="E5" s="1055" t="s">
        <v>185</v>
      </c>
      <c r="F5" s="1063" t="s">
        <v>186</v>
      </c>
      <c r="G5" s="1055" t="s">
        <v>187</v>
      </c>
      <c r="H5" s="1055" t="s">
        <v>188</v>
      </c>
      <c r="I5" s="1104" t="s">
        <v>189</v>
      </c>
      <c r="J5" s="1055" t="s">
        <v>190</v>
      </c>
      <c r="K5" s="1054" t="s">
        <v>191</v>
      </c>
      <c r="L5" s="132"/>
      <c r="M5" s="132"/>
      <c r="N5" s="132"/>
      <c r="O5" s="132"/>
      <c r="P5" s="132"/>
      <c r="Q5" s="163"/>
      <c r="R5" s="132"/>
      <c r="S5" s="132"/>
      <c r="T5" s="164"/>
      <c r="U5" s="164"/>
      <c r="V5" s="132"/>
      <c r="W5" s="132"/>
      <c r="X5" s="132"/>
      <c r="Y5" s="132"/>
      <c r="Z5" s="132"/>
      <c r="AA5" s="132"/>
      <c r="AB5" s="132"/>
      <c r="AC5" s="132"/>
      <c r="AD5" s="132"/>
      <c r="AE5" s="132"/>
      <c r="AF5" s="132"/>
      <c r="AG5" s="132"/>
      <c r="AH5" s="164"/>
      <c r="AI5" s="132"/>
      <c r="AJ5" s="132"/>
      <c r="AK5" s="132"/>
      <c r="AL5" s="132"/>
      <c r="AM5" s="132"/>
      <c r="AN5" s="132"/>
      <c r="AO5" s="132"/>
      <c r="AP5" s="132"/>
      <c r="AQ5" s="132"/>
      <c r="AR5" s="132"/>
      <c r="AS5" s="132"/>
      <c r="AT5" s="132"/>
      <c r="AU5" s="132"/>
      <c r="AV5" s="132"/>
      <c r="AW5" s="132"/>
      <c r="AX5" s="132"/>
      <c r="AY5" s="132"/>
      <c r="AZ5" s="132"/>
      <c r="BA5" s="132"/>
      <c r="BB5" s="132"/>
      <c r="BC5" s="165"/>
      <c r="BD5" s="132"/>
      <c r="BE5" s="166"/>
      <c r="BF5" s="166"/>
      <c r="BG5" s="132"/>
      <c r="BH5" s="165"/>
      <c r="BI5" s="167"/>
      <c r="BJ5" s="1055" t="s">
        <v>192</v>
      </c>
      <c r="BK5" s="1101" t="s">
        <v>386</v>
      </c>
      <c r="BL5" s="1055" t="s">
        <v>193</v>
      </c>
      <c r="BN5" s="1055" t="s">
        <v>506</v>
      </c>
    </row>
    <row r="6" spans="1:69" x14ac:dyDescent="0.2">
      <c r="A6" s="1055"/>
      <c r="B6" s="1055"/>
      <c r="C6" s="1055"/>
      <c r="D6" s="1055"/>
      <c r="E6" s="1055"/>
      <c r="F6" s="1063"/>
      <c r="G6" s="1055"/>
      <c r="H6" s="1055"/>
      <c r="I6" s="1104"/>
      <c r="J6" s="1055"/>
      <c r="K6" s="1054"/>
      <c r="L6" s="1055" t="s">
        <v>194</v>
      </c>
      <c r="M6" s="1055"/>
      <c r="N6" s="1055"/>
      <c r="O6" s="1055"/>
      <c r="P6" s="1055" t="s">
        <v>195</v>
      </c>
      <c r="Q6" s="1055"/>
      <c r="R6" s="1055"/>
      <c r="S6" s="1055"/>
      <c r="T6" s="1055" t="s">
        <v>196</v>
      </c>
      <c r="U6" s="1055"/>
      <c r="V6" s="1055"/>
      <c r="W6" s="1055"/>
      <c r="X6" s="1055" t="s">
        <v>197</v>
      </c>
      <c r="Y6" s="1055"/>
      <c r="Z6" s="1055"/>
      <c r="AA6" s="1055"/>
      <c r="AB6" s="1055" t="s">
        <v>198</v>
      </c>
      <c r="AC6" s="1055"/>
      <c r="AD6" s="1055"/>
      <c r="AE6" s="1055"/>
      <c r="AF6" s="1101" t="s">
        <v>199</v>
      </c>
      <c r="AG6" s="1102"/>
      <c r="AH6" s="1102"/>
      <c r="AI6" s="1103"/>
      <c r="AJ6" s="1101" t="s">
        <v>200</v>
      </c>
      <c r="AK6" s="1102"/>
      <c r="AL6" s="1102"/>
      <c r="AM6" s="1103"/>
      <c r="AN6" s="1101" t="s">
        <v>201</v>
      </c>
      <c r="AO6" s="1102"/>
      <c r="AP6" s="1102"/>
      <c r="AQ6" s="1103"/>
      <c r="AR6" s="1101" t="s">
        <v>202</v>
      </c>
      <c r="AS6" s="1102"/>
      <c r="AT6" s="1102"/>
      <c r="AU6" s="1103"/>
      <c r="AV6" s="1101" t="s">
        <v>203</v>
      </c>
      <c r="AW6" s="1102"/>
      <c r="AX6" s="1102"/>
      <c r="AY6" s="1103"/>
      <c r="AZ6" s="1101" t="s">
        <v>204</v>
      </c>
      <c r="BA6" s="1102"/>
      <c r="BB6" s="1102"/>
      <c r="BC6" s="1103"/>
      <c r="BD6" s="1101" t="s">
        <v>205</v>
      </c>
      <c r="BE6" s="1102"/>
      <c r="BF6" s="1102"/>
      <c r="BG6" s="1102"/>
      <c r="BH6" s="1103"/>
      <c r="BI6" s="168"/>
      <c r="BJ6" s="1055"/>
      <c r="BK6" s="1101"/>
      <c r="BL6" s="1055"/>
      <c r="BN6" s="1055"/>
      <c r="BO6" s="132"/>
    </row>
    <row r="7" spans="1:69" ht="47.25" x14ac:dyDescent="0.2">
      <c r="A7" s="1055"/>
      <c r="B7" s="1055"/>
      <c r="C7" s="1055"/>
      <c r="D7" s="1055"/>
      <c r="E7" s="1055"/>
      <c r="F7" s="1063"/>
      <c r="G7" s="1055"/>
      <c r="H7" s="1055"/>
      <c r="I7" s="1104"/>
      <c r="J7" s="1055"/>
      <c r="K7" s="1054"/>
      <c r="L7" s="479" t="s">
        <v>206</v>
      </c>
      <c r="M7" s="169" t="s">
        <v>207</v>
      </c>
      <c r="N7" s="479" t="s">
        <v>208</v>
      </c>
      <c r="O7" s="170" t="s">
        <v>209</v>
      </c>
      <c r="P7" s="479" t="s">
        <v>462</v>
      </c>
      <c r="Q7" s="169" t="s">
        <v>207</v>
      </c>
      <c r="R7" s="479" t="s">
        <v>208</v>
      </c>
      <c r="S7" s="170" t="s">
        <v>209</v>
      </c>
      <c r="T7" s="479" t="s">
        <v>463</v>
      </c>
      <c r="U7" s="169" t="s">
        <v>207</v>
      </c>
      <c r="V7" s="479" t="s">
        <v>208</v>
      </c>
      <c r="W7" s="170" t="s">
        <v>209</v>
      </c>
      <c r="X7" s="479" t="s">
        <v>464</v>
      </c>
      <c r="Y7" s="169" t="s">
        <v>207</v>
      </c>
      <c r="Z7" s="479" t="s">
        <v>208</v>
      </c>
      <c r="AA7" s="170" t="s">
        <v>209</v>
      </c>
      <c r="AB7" s="871" t="s">
        <v>465</v>
      </c>
      <c r="AC7" s="169" t="s">
        <v>207</v>
      </c>
      <c r="AD7" s="479" t="s">
        <v>208</v>
      </c>
      <c r="AE7" s="170" t="s">
        <v>209</v>
      </c>
      <c r="AF7" s="957" t="s">
        <v>466</v>
      </c>
      <c r="AG7" s="169" t="s">
        <v>210</v>
      </c>
      <c r="AH7" s="479" t="s">
        <v>208</v>
      </c>
      <c r="AI7" s="170" t="s">
        <v>209</v>
      </c>
      <c r="AJ7" s="977" t="s">
        <v>467</v>
      </c>
      <c r="AK7" s="169" t="s">
        <v>207</v>
      </c>
      <c r="AL7" s="479" t="s">
        <v>208</v>
      </c>
      <c r="AM7" s="170" t="s">
        <v>211</v>
      </c>
      <c r="AN7" s="977" t="s">
        <v>468</v>
      </c>
      <c r="AO7" s="169" t="s">
        <v>207</v>
      </c>
      <c r="AP7" s="479" t="s">
        <v>208</v>
      </c>
      <c r="AQ7" s="170" t="s">
        <v>209</v>
      </c>
      <c r="AR7" s="977" t="s">
        <v>469</v>
      </c>
      <c r="AS7" s="169" t="s">
        <v>207</v>
      </c>
      <c r="AT7" s="479" t="s">
        <v>208</v>
      </c>
      <c r="AU7" s="170" t="s">
        <v>209</v>
      </c>
      <c r="AV7" s="977" t="s">
        <v>470</v>
      </c>
      <c r="AW7" s="169" t="s">
        <v>207</v>
      </c>
      <c r="AX7" s="479" t="s">
        <v>208</v>
      </c>
      <c r="AY7" s="170" t="s">
        <v>209</v>
      </c>
      <c r="AZ7" s="969" t="s">
        <v>471</v>
      </c>
      <c r="BA7" s="169" t="s">
        <v>207</v>
      </c>
      <c r="BB7" s="479" t="s">
        <v>208</v>
      </c>
      <c r="BC7" s="171" t="s">
        <v>209</v>
      </c>
      <c r="BD7" s="977" t="s">
        <v>472</v>
      </c>
      <c r="BE7" s="588" t="s">
        <v>409</v>
      </c>
      <c r="BF7" s="169" t="s">
        <v>207</v>
      </c>
      <c r="BG7" s="479" t="s">
        <v>208</v>
      </c>
      <c r="BH7" s="170" t="s">
        <v>209</v>
      </c>
      <c r="BI7" s="958"/>
      <c r="BJ7" s="1103"/>
      <c r="BK7" s="1101"/>
      <c r="BL7" s="1055"/>
      <c r="BM7" s="172"/>
      <c r="BN7" s="1055"/>
      <c r="BO7" s="132" t="s">
        <v>639</v>
      </c>
    </row>
    <row r="8" spans="1:69" s="189" customFormat="1" ht="18.75" x14ac:dyDescent="0.2">
      <c r="A8" s="173"/>
      <c r="B8" s="107"/>
      <c r="C8" s="173"/>
      <c r="D8" s="107"/>
      <c r="E8" s="174"/>
      <c r="F8" s="624" t="s">
        <v>442</v>
      </c>
      <c r="G8" s="175"/>
      <c r="H8" s="202"/>
      <c r="I8" s="623" t="s">
        <v>443</v>
      </c>
      <c r="J8" s="212"/>
      <c r="K8" s="176"/>
      <c r="L8" s="177">
        <v>4.7</v>
      </c>
      <c r="M8" s="178"/>
      <c r="N8" s="179"/>
      <c r="O8" s="180"/>
      <c r="P8" s="177">
        <v>7.5</v>
      </c>
      <c r="Q8" s="181"/>
      <c r="R8" s="179"/>
      <c r="S8" s="180"/>
      <c r="T8" s="182">
        <v>9.1</v>
      </c>
      <c r="U8" s="183"/>
      <c r="V8" s="107"/>
      <c r="W8" s="184"/>
      <c r="X8" s="173"/>
      <c r="Y8" s="183"/>
      <c r="Z8" s="107"/>
      <c r="AA8" s="184"/>
      <c r="AB8" s="173"/>
      <c r="AC8" s="183"/>
      <c r="AD8" s="107"/>
      <c r="AE8" s="184"/>
      <c r="AF8" s="173"/>
      <c r="AG8" s="183"/>
      <c r="AH8" s="107"/>
      <c r="AI8" s="184"/>
      <c r="AJ8" s="173"/>
      <c r="AK8" s="183"/>
      <c r="AL8" s="107"/>
      <c r="AM8" s="184"/>
      <c r="AN8" s="173"/>
      <c r="AO8" s="183"/>
      <c r="AP8" s="107"/>
      <c r="AQ8" s="184"/>
      <c r="AR8" s="173"/>
      <c r="AS8" s="183"/>
      <c r="AT8" s="107"/>
      <c r="AU8" s="184"/>
      <c r="AV8" s="173"/>
      <c r="AW8" s="183"/>
      <c r="AX8" s="107"/>
      <c r="AY8" s="184"/>
      <c r="AZ8" s="173"/>
      <c r="BA8" s="183"/>
      <c r="BB8" s="107"/>
      <c r="BC8" s="185"/>
      <c r="BD8" s="173"/>
      <c r="BE8" s="173"/>
      <c r="BF8" s="183"/>
      <c r="BG8" s="107"/>
      <c r="BH8" s="184"/>
      <c r="BI8" s="962"/>
      <c r="BJ8" s="186"/>
      <c r="BK8" s="186"/>
      <c r="BL8" s="187"/>
      <c r="BM8" s="188"/>
      <c r="BN8" s="775"/>
      <c r="BO8" s="775"/>
      <c r="BQ8" s="190"/>
    </row>
    <row r="9" spans="1:69" x14ac:dyDescent="0.2">
      <c r="A9" s="479" t="s">
        <v>212</v>
      </c>
      <c r="B9" s="479"/>
      <c r="C9" s="479"/>
      <c r="D9" s="479"/>
      <c r="E9" s="479"/>
      <c r="F9" s="106"/>
      <c r="G9" s="479"/>
      <c r="H9" s="191"/>
      <c r="I9" s="489"/>
      <c r="K9" s="480"/>
      <c r="L9" s="192">
        <f>L12/H12*100</f>
        <v>0.53088566049744046</v>
      </c>
      <c r="M9" s="169">
        <v>4.5</v>
      </c>
      <c r="N9" s="479"/>
      <c r="O9" s="170"/>
      <c r="P9" s="192">
        <f>P12/H12*100</f>
        <v>0.91594330433323201</v>
      </c>
      <c r="Q9" s="193">
        <v>7.8</v>
      </c>
      <c r="R9" s="192"/>
      <c r="S9" s="194"/>
      <c r="T9" s="493">
        <f>T12/H12*100</f>
        <v>5.2858586765379698</v>
      </c>
      <c r="U9" s="195">
        <v>8</v>
      </c>
      <c r="V9" s="192"/>
      <c r="W9" s="194"/>
      <c r="X9" s="192">
        <f>X14/$H$14*100</f>
        <v>25.56775361482439</v>
      </c>
      <c r="Y9" s="195"/>
      <c r="Z9" s="192"/>
      <c r="AA9" s="194"/>
      <c r="AB9" s="192">
        <f>AB14/$H$14*100</f>
        <v>6.4595927492110725</v>
      </c>
      <c r="AC9" s="195"/>
      <c r="AD9" s="192"/>
      <c r="AE9" s="194"/>
      <c r="AF9" s="192">
        <f>AF14/$H$14*100</f>
        <v>15.801188341555966</v>
      </c>
      <c r="AG9" s="195"/>
      <c r="AH9" s="192"/>
      <c r="AI9" s="194"/>
      <c r="AJ9" s="192">
        <f>AJ14/$H$14*100</f>
        <v>3.2252350594601942</v>
      </c>
      <c r="AK9" s="192">
        <f>AK14/$H$14*100</f>
        <v>3.1385321907352743</v>
      </c>
      <c r="AL9" s="192">
        <f>AL14/$H$14*100</f>
        <v>0.45758928392749421</v>
      </c>
      <c r="AM9" s="192">
        <f>AM14/$H$14*100</f>
        <v>-2.6809429068077799</v>
      </c>
      <c r="AN9" s="192">
        <f>AN14/$H$14*100</f>
        <v>22.223120370391833</v>
      </c>
      <c r="AO9" s="195"/>
      <c r="AP9" s="192"/>
      <c r="AQ9" s="194"/>
      <c r="AR9" s="192">
        <f>AR14/$H$14*100</f>
        <v>4.7258866662612107</v>
      </c>
      <c r="AS9" s="195"/>
      <c r="AT9" s="192"/>
      <c r="AU9" s="196"/>
      <c r="AV9" s="192">
        <f>AV14/$H$14*100</f>
        <v>9.9352493982344132</v>
      </c>
      <c r="AW9" s="195"/>
      <c r="AX9" s="192"/>
      <c r="AY9" s="194"/>
      <c r="AZ9" s="192">
        <f>AZ14/$H$14*100</f>
        <v>2.4718867486957552</v>
      </c>
      <c r="BA9" s="195"/>
      <c r="BB9" s="192"/>
      <c r="BC9" s="197"/>
      <c r="BD9" s="198">
        <f>BD14/$H$14*100</f>
        <v>8.0647853150202558</v>
      </c>
      <c r="BE9" s="198"/>
      <c r="BF9" s="195"/>
      <c r="BG9" s="192"/>
      <c r="BH9" s="194"/>
      <c r="BI9" s="963"/>
      <c r="BJ9" s="199">
        <f>BJ10-BJ12</f>
        <v>0</v>
      </c>
      <c r="BL9" s="132"/>
      <c r="BN9" s="132"/>
      <c r="BO9" s="132"/>
    </row>
    <row r="10" spans="1:69" s="220" customFormat="1" ht="19.5" x14ac:dyDescent="0.2">
      <c r="A10" s="479"/>
      <c r="B10" s="200"/>
      <c r="C10" s="201"/>
      <c r="D10" s="201"/>
      <c r="E10" s="201"/>
      <c r="F10" s="494"/>
      <c r="G10" s="201"/>
      <c r="H10" s="202"/>
      <c r="I10" s="203"/>
      <c r="J10" s="204"/>
      <c r="K10" s="204"/>
      <c r="L10" s="204"/>
      <c r="M10" s="205"/>
      <c r="N10" s="204"/>
      <c r="O10" s="206"/>
      <c r="P10" s="204"/>
      <c r="Q10" s="207"/>
      <c r="R10" s="204"/>
      <c r="S10" s="206"/>
      <c r="T10" s="204"/>
      <c r="U10" s="208"/>
      <c r="V10" s="204"/>
      <c r="W10" s="206"/>
      <c r="X10" s="209"/>
      <c r="Y10" s="210"/>
      <c r="Z10" s="209"/>
      <c r="AA10" s="211"/>
      <c r="AB10" s="212"/>
      <c r="AC10" s="210"/>
      <c r="AD10" s="212"/>
      <c r="AE10" s="213"/>
      <c r="AF10" s="212"/>
      <c r="AG10" s="214"/>
      <c r="AH10" s="209"/>
      <c r="AI10" s="215"/>
      <c r="AJ10" s="209"/>
      <c r="AK10" s="208"/>
      <c r="AL10" s="209"/>
      <c r="AM10" s="211"/>
      <c r="AN10" s="202"/>
      <c r="AO10" s="216"/>
      <c r="AP10" s="209"/>
      <c r="AQ10" s="211"/>
      <c r="AR10" s="209"/>
      <c r="AS10" s="208"/>
      <c r="AT10" s="209"/>
      <c r="AU10" s="211"/>
      <c r="AV10" s="209"/>
      <c r="AW10" s="208"/>
      <c r="AX10" s="204"/>
      <c r="AY10" s="211"/>
      <c r="AZ10" s="209"/>
      <c r="BA10" s="208"/>
      <c r="BB10" s="209"/>
      <c r="BC10" s="211"/>
      <c r="BD10" s="217"/>
      <c r="BE10" s="217"/>
      <c r="BF10" s="208"/>
      <c r="BG10" s="209"/>
      <c r="BH10" s="211"/>
      <c r="BI10" s="964"/>
      <c r="BJ10" s="158"/>
      <c r="BK10" s="158"/>
      <c r="BL10" s="218"/>
      <c r="BM10" s="219"/>
      <c r="BN10" s="793"/>
      <c r="BO10" s="893"/>
    </row>
    <row r="11" spans="1:69" s="220" customFormat="1" ht="19.5" x14ac:dyDescent="0.2">
      <c r="A11" s="488"/>
      <c r="B11" s="200"/>
      <c r="C11" s="221"/>
      <c r="D11" s="221"/>
      <c r="E11" s="222"/>
      <c r="F11" s="495"/>
      <c r="G11" s="222"/>
      <c r="I11" s="203"/>
      <c r="J11" s="204"/>
      <c r="K11" s="204"/>
      <c r="L11" s="204"/>
      <c r="M11" s="205"/>
      <c r="N11" s="204"/>
      <c r="O11" s="206"/>
      <c r="P11" s="204"/>
      <c r="Q11" s="207"/>
      <c r="R11" s="204"/>
      <c r="S11" s="206"/>
      <c r="T11" s="204"/>
      <c r="U11" s="208"/>
      <c r="V11" s="204"/>
      <c r="W11" s="206"/>
      <c r="X11" s="209"/>
      <c r="Y11" s="210"/>
      <c r="Z11" s="209"/>
      <c r="AA11" s="211"/>
      <c r="AB11" s="212"/>
      <c r="AC11" s="210"/>
      <c r="AD11" s="212"/>
      <c r="AE11" s="213"/>
      <c r="AF11" s="212"/>
      <c r="AG11" s="214"/>
      <c r="AH11" s="209"/>
      <c r="AI11" s="215"/>
      <c r="AJ11" s="209"/>
      <c r="AK11" s="208"/>
      <c r="AL11" s="209"/>
      <c r="AM11" s="211"/>
      <c r="AN11" s="202"/>
      <c r="AO11" s="216"/>
      <c r="AP11" s="209"/>
      <c r="AQ11" s="211"/>
      <c r="AR11" s="209"/>
      <c r="AS11" s="208"/>
      <c r="AT11" s="209"/>
      <c r="AU11" s="211"/>
      <c r="AV11" s="209"/>
      <c r="AW11" s="208"/>
      <c r="AX11" s="204"/>
      <c r="AY11" s="211"/>
      <c r="AZ11" s="209"/>
      <c r="BA11" s="208"/>
      <c r="BB11" s="209"/>
      <c r="BC11" s="211"/>
      <c r="BD11" s="217"/>
      <c r="BE11" s="217"/>
      <c r="BF11" s="208"/>
      <c r="BG11" s="209"/>
      <c r="BH11" s="211"/>
      <c r="BI11" s="964"/>
      <c r="BJ11" s="158"/>
      <c r="BK11" s="156"/>
      <c r="BL11" s="218"/>
      <c r="BM11" s="219"/>
      <c r="BN11" s="793"/>
      <c r="BO11" s="893"/>
    </row>
    <row r="12" spans="1:69" s="229" customFormat="1" ht="24.75" customHeight="1" x14ac:dyDescent="0.2">
      <c r="A12" s="1064" t="s">
        <v>213</v>
      </c>
      <c r="B12" s="1065"/>
      <c r="C12" s="1065"/>
      <c r="D12" s="1065"/>
      <c r="E12" s="1066"/>
      <c r="F12" s="223"/>
      <c r="G12" s="223"/>
      <c r="H12" s="224">
        <f>H14+H15</f>
        <v>6231969040</v>
      </c>
      <c r="I12" s="225">
        <f>I14+I15</f>
        <v>6217804616.5601797</v>
      </c>
      <c r="J12" s="224">
        <f>H12-I12</f>
        <v>14164423.43982029</v>
      </c>
      <c r="K12" s="224">
        <f>K14+K15</f>
        <v>3079130442.2600002</v>
      </c>
      <c r="L12" s="224">
        <f t="shared" ref="L12:BD12" si="0">L14+L15</f>
        <v>33084630</v>
      </c>
      <c r="M12" s="224">
        <f t="shared" si="0"/>
        <v>33084630</v>
      </c>
      <c r="N12" s="224">
        <f t="shared" si="0"/>
        <v>33084630</v>
      </c>
      <c r="O12" s="224">
        <f t="shared" si="0"/>
        <v>0</v>
      </c>
      <c r="P12" s="224">
        <f t="shared" si="0"/>
        <v>57081303.149999999</v>
      </c>
      <c r="Q12" s="226">
        <f t="shared" si="0"/>
        <v>57081303.149999999</v>
      </c>
      <c r="R12" s="224">
        <f t="shared" si="0"/>
        <v>57081303.149999999</v>
      </c>
      <c r="S12" s="227">
        <f t="shared" si="0"/>
        <v>0</v>
      </c>
      <c r="T12" s="224">
        <f t="shared" si="0"/>
        <v>329413076.22000003</v>
      </c>
      <c r="U12" s="226">
        <f t="shared" si="0"/>
        <v>329413076.22000003</v>
      </c>
      <c r="V12" s="224">
        <f t="shared" si="0"/>
        <v>292007900.59000003</v>
      </c>
      <c r="W12" s="227">
        <f t="shared" si="0"/>
        <v>0</v>
      </c>
      <c r="X12" s="224">
        <f t="shared" si="0"/>
        <v>1506784146.0600002</v>
      </c>
      <c r="Y12" s="226">
        <f t="shared" si="0"/>
        <v>1506784146.0600002</v>
      </c>
      <c r="Z12" s="224">
        <f t="shared" si="0"/>
        <v>1445929507.5100002</v>
      </c>
      <c r="AA12" s="227">
        <f t="shared" si="0"/>
        <v>-19953.509999971742</v>
      </c>
      <c r="AB12" s="224">
        <f t="shared" si="0"/>
        <v>448690023.00999999</v>
      </c>
      <c r="AC12" s="226">
        <f t="shared" si="0"/>
        <v>391320007.16999996</v>
      </c>
      <c r="AD12" s="224">
        <f t="shared" si="0"/>
        <v>391949336.82999998</v>
      </c>
      <c r="AE12" s="227">
        <f t="shared" si="0"/>
        <v>629329.66</v>
      </c>
      <c r="AF12" s="224">
        <f t="shared" si="0"/>
        <v>885439389.22000015</v>
      </c>
      <c r="AG12" s="226">
        <f t="shared" si="0"/>
        <v>885439389.22000015</v>
      </c>
      <c r="AH12" s="224">
        <f t="shared" si="0"/>
        <v>836143496.62000012</v>
      </c>
      <c r="AI12" s="227">
        <f t="shared" si="0"/>
        <v>-4311920.9399999939</v>
      </c>
      <c r="AJ12" s="224">
        <f t="shared" si="0"/>
        <v>238180113.59999999</v>
      </c>
      <c r="AK12" s="226">
        <f t="shared" si="0"/>
        <v>233834586.16</v>
      </c>
      <c r="AL12" s="224">
        <f t="shared" si="0"/>
        <v>22934267.559999999</v>
      </c>
      <c r="AM12" s="227">
        <f t="shared" si="0"/>
        <v>-159766231.03999999</v>
      </c>
      <c r="AN12" s="224">
        <f t="shared" si="0"/>
        <v>1180930601.5199997</v>
      </c>
      <c r="AO12" s="226">
        <f t="shared" si="0"/>
        <v>18164112.390000001</v>
      </c>
      <c r="AP12" s="224">
        <f t="shared" si="0"/>
        <v>0</v>
      </c>
      <c r="AQ12" s="227">
        <f t="shared" si="0"/>
        <v>-37949112.390000001</v>
      </c>
      <c r="AR12" s="224">
        <f t="shared" si="0"/>
        <v>426696953.12</v>
      </c>
      <c r="AS12" s="224">
        <f t="shared" si="0"/>
        <v>0</v>
      </c>
      <c r="AT12" s="224">
        <f t="shared" si="0"/>
        <v>0</v>
      </c>
      <c r="AU12" s="224">
        <f t="shared" si="0"/>
        <v>609376.14999999839</v>
      </c>
      <c r="AV12" s="224">
        <f t="shared" si="0"/>
        <v>686121439.13</v>
      </c>
      <c r="AW12" s="224">
        <f t="shared" si="0"/>
        <v>0</v>
      </c>
      <c r="AX12" s="224">
        <f t="shared" si="0"/>
        <v>0</v>
      </c>
      <c r="AY12" s="224">
        <f t="shared" si="0"/>
        <v>0</v>
      </c>
      <c r="AZ12" s="224">
        <f t="shared" si="0"/>
        <v>175520102.19</v>
      </c>
      <c r="BA12" s="224">
        <f t="shared" si="0"/>
        <v>0</v>
      </c>
      <c r="BB12" s="224">
        <f t="shared" si="0"/>
        <v>0</v>
      </c>
      <c r="BC12" s="224">
        <f t="shared" si="0"/>
        <v>0</v>
      </c>
      <c r="BD12" s="224">
        <f t="shared" si="0"/>
        <v>515101299.3401804</v>
      </c>
      <c r="BE12" s="224">
        <f>BE14</f>
        <v>0</v>
      </c>
      <c r="BF12" s="226">
        <f>BF14</f>
        <v>0</v>
      </c>
      <c r="BG12" s="224">
        <f>BG14</f>
        <v>0</v>
      </c>
      <c r="BH12" s="227">
        <f>BH14</f>
        <v>0</v>
      </c>
      <c r="BI12" s="965"/>
      <c r="BJ12" s="960">
        <f>BJ14+BJ15</f>
        <v>0</v>
      </c>
      <c r="BK12" s="228">
        <f>BK14+BK15</f>
        <v>0</v>
      </c>
      <c r="BL12" s="228">
        <f>BL14+BL15</f>
        <v>6241584939.1899986</v>
      </c>
      <c r="BM12" s="500"/>
      <c r="BN12" s="794"/>
      <c r="BO12" s="894"/>
      <c r="BQ12" s="230"/>
    </row>
    <row r="13" spans="1:69" s="220" customFormat="1" ht="19.5" x14ac:dyDescent="0.2">
      <c r="A13" s="488"/>
      <c r="B13" s="200"/>
      <c r="C13" s="221"/>
      <c r="D13" s="221"/>
      <c r="E13" s="222"/>
      <c r="F13" s="495"/>
      <c r="G13" s="222"/>
      <c r="H13" s="202"/>
      <c r="I13" s="203"/>
      <c r="J13" s="204"/>
      <c r="K13" s="204"/>
      <c r="L13" s="204"/>
      <c r="M13" s="205"/>
      <c r="N13" s="204"/>
      <c r="O13" s="206"/>
      <c r="P13" s="204"/>
      <c r="Q13" s="207"/>
      <c r="R13" s="204"/>
      <c r="S13" s="206"/>
      <c r="T13" s="204"/>
      <c r="U13" s="208"/>
      <c r="V13" s="204"/>
      <c r="W13" s="206"/>
      <c r="X13" s="209"/>
      <c r="Y13" s="208"/>
      <c r="Z13" s="209"/>
      <c r="AA13" s="211"/>
      <c r="AB13" s="209"/>
      <c r="AC13" s="208"/>
      <c r="AD13" s="209"/>
      <c r="AE13" s="211"/>
      <c r="AF13" s="209"/>
      <c r="AG13" s="214"/>
      <c r="AH13" s="209"/>
      <c r="AI13" s="215"/>
      <c r="AJ13" s="209"/>
      <c r="AK13" s="208"/>
      <c r="AL13" s="209"/>
      <c r="AM13" s="211"/>
      <c r="AN13" s="202"/>
      <c r="AO13" s="231"/>
      <c r="AP13" s="209"/>
      <c r="AQ13" s="211"/>
      <c r="AR13" s="209"/>
      <c r="AS13" s="208"/>
      <c r="AT13" s="209"/>
      <c r="AU13" s="211"/>
      <c r="AV13" s="209"/>
      <c r="AW13" s="208"/>
      <c r="AX13" s="204"/>
      <c r="AY13" s="211"/>
      <c r="AZ13" s="209"/>
      <c r="BA13" s="208"/>
      <c r="BB13" s="209"/>
      <c r="BC13" s="211"/>
      <c r="BD13" s="217"/>
      <c r="BE13" s="217"/>
      <c r="BF13" s="208"/>
      <c r="BG13" s="209"/>
      <c r="BH13" s="211"/>
      <c r="BI13" s="964"/>
      <c r="BJ13" s="158"/>
      <c r="BK13" s="156"/>
      <c r="BL13" s="218"/>
      <c r="BM13" s="156"/>
      <c r="BN13" s="793"/>
      <c r="BO13" s="893"/>
      <c r="BQ13" s="230"/>
    </row>
    <row r="14" spans="1:69" s="500" customFormat="1" ht="54" customHeight="1" x14ac:dyDescent="0.2">
      <c r="A14" s="1071" t="s">
        <v>214</v>
      </c>
      <c r="B14" s="1072"/>
      <c r="C14" s="1072"/>
      <c r="D14" s="1072"/>
      <c r="E14" s="1073"/>
      <c r="F14" s="496" t="s">
        <v>14</v>
      </c>
      <c r="G14" s="497"/>
      <c r="H14" s="498">
        <f t="shared" ref="H14:AI14" si="1">H18+H101+H121+H142+H167+H175+H187+H204</f>
        <v>5011976540</v>
      </c>
      <c r="I14" s="727">
        <f t="shared" si="1"/>
        <v>5014232236.9401798</v>
      </c>
      <c r="J14" s="498">
        <f t="shared" si="1"/>
        <v>-2255696.9401803268</v>
      </c>
      <c r="K14" s="498">
        <f t="shared" si="1"/>
        <v>2464089854.6100001</v>
      </c>
      <c r="L14" s="498">
        <f t="shared" si="1"/>
        <v>0</v>
      </c>
      <c r="M14" s="498">
        <f t="shared" si="1"/>
        <v>0</v>
      </c>
      <c r="N14" s="498">
        <f t="shared" si="1"/>
        <v>0</v>
      </c>
      <c r="O14" s="498">
        <f t="shared" si="1"/>
        <v>0</v>
      </c>
      <c r="P14" s="498">
        <f t="shared" si="1"/>
        <v>0</v>
      </c>
      <c r="Q14" s="749">
        <f t="shared" si="1"/>
        <v>0</v>
      </c>
      <c r="R14" s="498">
        <f t="shared" si="1"/>
        <v>0</v>
      </c>
      <c r="S14" s="751">
        <f t="shared" si="1"/>
        <v>0</v>
      </c>
      <c r="T14" s="498">
        <f t="shared" si="1"/>
        <v>93941922.129999995</v>
      </c>
      <c r="U14" s="749">
        <f t="shared" si="1"/>
        <v>93941922.129999995</v>
      </c>
      <c r="V14" s="498">
        <f t="shared" si="1"/>
        <v>93941922.129999995</v>
      </c>
      <c r="W14" s="751">
        <f t="shared" si="1"/>
        <v>0</v>
      </c>
      <c r="X14" s="498">
        <f t="shared" si="1"/>
        <v>1281449812.9800003</v>
      </c>
      <c r="Y14" s="749">
        <f t="shared" si="1"/>
        <v>1281449812.9800003</v>
      </c>
      <c r="Z14" s="498">
        <f t="shared" si="1"/>
        <v>1255429859.4700003</v>
      </c>
      <c r="AA14" s="751">
        <f t="shared" si="1"/>
        <v>-19953.509999971742</v>
      </c>
      <c r="AB14" s="498">
        <f t="shared" si="1"/>
        <v>323753273.16999996</v>
      </c>
      <c r="AC14" s="749">
        <f t="shared" si="1"/>
        <v>304643873.66999996</v>
      </c>
      <c r="AD14" s="498">
        <f t="shared" si="1"/>
        <v>305273203.32999998</v>
      </c>
      <c r="AE14" s="751">
        <f t="shared" si="1"/>
        <v>629329.66</v>
      </c>
      <c r="AF14" s="498">
        <f t="shared" si="1"/>
        <v>791951852.72000015</v>
      </c>
      <c r="AG14" s="749">
        <f t="shared" si="1"/>
        <v>791951852.72000015</v>
      </c>
      <c r="AH14" s="498">
        <f t="shared" si="1"/>
        <v>786510602.12000012</v>
      </c>
      <c r="AI14" s="751">
        <f t="shared" si="1"/>
        <v>-4811920.9399999939</v>
      </c>
      <c r="AJ14" s="498">
        <f>AJ18+AJ101+AJ121+AJ142+AJ167+AJ175+AJ187+AJ204+AJ221+AJ222</f>
        <v>161648024.53999999</v>
      </c>
      <c r="AK14" s="749">
        <f t="shared" ref="AK14:BD14" si="2">AK18+AK101+AK121+AK142+AK167+AK175+AK187+AK204+AK221+AK222</f>
        <v>157302497.09999999</v>
      </c>
      <c r="AL14" s="498">
        <f t="shared" si="2"/>
        <v>22934267.559999999</v>
      </c>
      <c r="AM14" s="751">
        <f t="shared" si="2"/>
        <v>-134368229.53999999</v>
      </c>
      <c r="AN14" s="498">
        <f t="shared" si="2"/>
        <v>1113817579.4199998</v>
      </c>
      <c r="AO14" s="498">
        <f t="shared" si="2"/>
        <v>18164112.390000001</v>
      </c>
      <c r="AP14" s="498">
        <f t="shared" si="2"/>
        <v>0</v>
      </c>
      <c r="AQ14" s="498">
        <f t="shared" si="2"/>
        <v>-27899112.390000001</v>
      </c>
      <c r="AR14" s="498">
        <f t="shared" si="2"/>
        <v>236860331.01999998</v>
      </c>
      <c r="AS14" s="498">
        <f t="shared" si="2"/>
        <v>0</v>
      </c>
      <c r="AT14" s="498">
        <f t="shared" si="2"/>
        <v>0</v>
      </c>
      <c r="AU14" s="498">
        <f t="shared" si="2"/>
        <v>609376.14999999839</v>
      </c>
      <c r="AV14" s="498">
        <f t="shared" si="2"/>
        <v>497952369.02999997</v>
      </c>
      <c r="AW14" s="498">
        <f t="shared" si="2"/>
        <v>0</v>
      </c>
      <c r="AX14" s="498">
        <f t="shared" si="2"/>
        <v>0</v>
      </c>
      <c r="AY14" s="498">
        <f t="shared" si="2"/>
        <v>0</v>
      </c>
      <c r="AZ14" s="498">
        <f t="shared" si="2"/>
        <v>123890383.94000001</v>
      </c>
      <c r="BA14" s="498">
        <f t="shared" si="2"/>
        <v>0</v>
      </c>
      <c r="BB14" s="498">
        <f t="shared" si="2"/>
        <v>0</v>
      </c>
      <c r="BC14" s="498">
        <f t="shared" si="2"/>
        <v>0</v>
      </c>
      <c r="BD14" s="498">
        <f t="shared" si="2"/>
        <v>404205147.99018037</v>
      </c>
      <c r="BE14" s="498">
        <f t="shared" ref="BE14:BH14" si="3">BE18+BE101+BE121+BE142+BE167+BE175+BE187+BE204</f>
        <v>0</v>
      </c>
      <c r="BF14" s="498">
        <f t="shared" si="3"/>
        <v>0</v>
      </c>
      <c r="BG14" s="498">
        <f t="shared" si="3"/>
        <v>0</v>
      </c>
      <c r="BH14" s="498">
        <f t="shared" si="3"/>
        <v>0</v>
      </c>
      <c r="BI14" s="966"/>
      <c r="BJ14" s="961">
        <f>BJ18+BJ101+BJ121+BJ142+BJ167+BJ175+BJ187+BJ211+BJ204</f>
        <v>0</v>
      </c>
      <c r="BK14" s="499">
        <f>BK18+BK101+BK121+BK142+BK167+BK175+BK187+BK211+BK204</f>
        <v>0</v>
      </c>
      <c r="BL14" s="498">
        <f>BL18+BL101+BL121+BL142+BL167+BL175+BL187+BL211+BL204</f>
        <v>5685443439.1899986</v>
      </c>
      <c r="BN14" s="212"/>
      <c r="BO14" s="895"/>
      <c r="BQ14" s="230"/>
    </row>
    <row r="15" spans="1:69" s="719" customFormat="1" ht="54" customHeight="1" x14ac:dyDescent="0.2">
      <c r="A15" s="1138" t="s">
        <v>214</v>
      </c>
      <c r="B15" s="1139"/>
      <c r="C15" s="1139"/>
      <c r="D15" s="1139"/>
      <c r="E15" s="1140"/>
      <c r="F15" s="714" t="s">
        <v>63</v>
      </c>
      <c r="G15" s="715"/>
      <c r="H15" s="716">
        <f t="shared" ref="H15:AI15" si="4">H143+H176+H188+H205+H211</f>
        <v>1219992500</v>
      </c>
      <c r="I15" s="728">
        <f t="shared" si="4"/>
        <v>1203572379.6199999</v>
      </c>
      <c r="J15" s="716">
        <f t="shared" si="4"/>
        <v>16420120.379999999</v>
      </c>
      <c r="K15" s="716">
        <f t="shared" si="4"/>
        <v>615040587.64999998</v>
      </c>
      <c r="L15" s="716">
        <f t="shared" si="4"/>
        <v>33084630</v>
      </c>
      <c r="M15" s="716">
        <f t="shared" si="4"/>
        <v>33084630</v>
      </c>
      <c r="N15" s="716">
        <f t="shared" si="4"/>
        <v>33084630</v>
      </c>
      <c r="O15" s="716">
        <f t="shared" si="4"/>
        <v>0</v>
      </c>
      <c r="P15" s="716">
        <f t="shared" si="4"/>
        <v>57081303.149999999</v>
      </c>
      <c r="Q15" s="717">
        <f t="shared" si="4"/>
        <v>57081303.149999999</v>
      </c>
      <c r="R15" s="716">
        <f t="shared" si="4"/>
        <v>57081303.149999999</v>
      </c>
      <c r="S15" s="718">
        <f t="shared" si="4"/>
        <v>0</v>
      </c>
      <c r="T15" s="716">
        <f t="shared" si="4"/>
        <v>235471154.09</v>
      </c>
      <c r="U15" s="717">
        <f t="shared" si="4"/>
        <v>235471154.09</v>
      </c>
      <c r="V15" s="716">
        <f t="shared" si="4"/>
        <v>198065978.46000001</v>
      </c>
      <c r="W15" s="718">
        <f t="shared" si="4"/>
        <v>0</v>
      </c>
      <c r="X15" s="716">
        <f t="shared" si="4"/>
        <v>225334333.07999998</v>
      </c>
      <c r="Y15" s="717">
        <f t="shared" si="4"/>
        <v>225334333.07999998</v>
      </c>
      <c r="Z15" s="716">
        <f t="shared" si="4"/>
        <v>190499648.03999999</v>
      </c>
      <c r="AA15" s="718">
        <f t="shared" si="4"/>
        <v>0</v>
      </c>
      <c r="AB15" s="716">
        <f t="shared" si="4"/>
        <v>124936749.84</v>
      </c>
      <c r="AC15" s="717">
        <f t="shared" si="4"/>
        <v>86676133.5</v>
      </c>
      <c r="AD15" s="716">
        <f t="shared" si="4"/>
        <v>86676133.5</v>
      </c>
      <c r="AE15" s="718">
        <f t="shared" si="4"/>
        <v>0</v>
      </c>
      <c r="AF15" s="716">
        <f t="shared" si="4"/>
        <v>93487536.5</v>
      </c>
      <c r="AG15" s="717">
        <f t="shared" si="4"/>
        <v>93487536.5</v>
      </c>
      <c r="AH15" s="716">
        <f t="shared" si="4"/>
        <v>49632894.5</v>
      </c>
      <c r="AI15" s="718">
        <f t="shared" si="4"/>
        <v>500000</v>
      </c>
      <c r="AJ15" s="716">
        <f>AJ143+AJ176+AJ188+AJ205+AJ211+AJ224</f>
        <v>76532089.060000002</v>
      </c>
      <c r="AK15" s="717">
        <f t="shared" ref="AK15:BD15" si="5">AK143+AK176+AK188+AK205+AK211+AK224</f>
        <v>76532089.060000002</v>
      </c>
      <c r="AL15" s="716">
        <f t="shared" si="5"/>
        <v>0</v>
      </c>
      <c r="AM15" s="718">
        <f t="shared" si="5"/>
        <v>-25398001.5</v>
      </c>
      <c r="AN15" s="716">
        <f t="shared" si="5"/>
        <v>67113022.099999994</v>
      </c>
      <c r="AO15" s="716">
        <f t="shared" si="5"/>
        <v>0</v>
      </c>
      <c r="AP15" s="716">
        <f t="shared" si="5"/>
        <v>0</v>
      </c>
      <c r="AQ15" s="716">
        <f t="shared" si="5"/>
        <v>-10050000</v>
      </c>
      <c r="AR15" s="716">
        <f t="shared" si="5"/>
        <v>189836622.09999999</v>
      </c>
      <c r="AS15" s="716">
        <f t="shared" si="5"/>
        <v>0</v>
      </c>
      <c r="AT15" s="716">
        <f t="shared" si="5"/>
        <v>0</v>
      </c>
      <c r="AU15" s="716">
        <f t="shared" si="5"/>
        <v>0</v>
      </c>
      <c r="AV15" s="716">
        <f t="shared" si="5"/>
        <v>188169070.09999999</v>
      </c>
      <c r="AW15" s="716">
        <f t="shared" si="5"/>
        <v>0</v>
      </c>
      <c r="AX15" s="716">
        <f t="shared" si="5"/>
        <v>0</v>
      </c>
      <c r="AY15" s="716">
        <f t="shared" si="5"/>
        <v>0</v>
      </c>
      <c r="AZ15" s="716">
        <f t="shared" si="5"/>
        <v>51629718.25</v>
      </c>
      <c r="BA15" s="716">
        <f t="shared" si="5"/>
        <v>0</v>
      </c>
      <c r="BB15" s="716">
        <f t="shared" si="5"/>
        <v>0</v>
      </c>
      <c r="BC15" s="716">
        <f t="shared" si="5"/>
        <v>0</v>
      </c>
      <c r="BD15" s="716">
        <f t="shared" si="5"/>
        <v>110896151.34999999</v>
      </c>
      <c r="BE15" s="716">
        <f t="shared" ref="BE15:BH15" si="6">BE143+BE176+BE188+BE205+BE211</f>
        <v>0</v>
      </c>
      <c r="BF15" s="716">
        <f t="shared" si="6"/>
        <v>0</v>
      </c>
      <c r="BG15" s="716">
        <f t="shared" si="6"/>
        <v>0</v>
      </c>
      <c r="BH15" s="716">
        <f t="shared" si="6"/>
        <v>0</v>
      </c>
      <c r="BI15" s="908"/>
      <c r="BJ15" s="716">
        <f>BJ143+BJ176+BJ188+BJ205+BJ211</f>
        <v>0</v>
      </c>
      <c r="BK15" s="716">
        <f>BK143+BK176+BK188+BK205+BK211</f>
        <v>0</v>
      </c>
      <c r="BL15" s="716">
        <f>BL143+BL176+BL188+BL205+BL211</f>
        <v>556141500</v>
      </c>
      <c r="BN15" s="776"/>
      <c r="BO15" s="896"/>
      <c r="BQ15" s="720"/>
    </row>
    <row r="16" spans="1:69" s="220" customFormat="1" ht="53.25" customHeight="1" x14ac:dyDescent="0.2">
      <c r="A16" s="1074" t="s">
        <v>216</v>
      </c>
      <c r="B16" s="1075"/>
      <c r="C16" s="1075"/>
      <c r="D16" s="1075"/>
      <c r="E16" s="1076"/>
      <c r="F16" s="502" t="s">
        <v>16</v>
      </c>
      <c r="G16" s="503"/>
      <c r="H16" s="504">
        <f t="shared" ref="H16:AM16" si="7">H19+H103+H122+H168+H189</f>
        <v>1101992900</v>
      </c>
      <c r="I16" s="729">
        <f t="shared" si="7"/>
        <v>1112294849.9400001</v>
      </c>
      <c r="J16" s="504">
        <f t="shared" si="7"/>
        <v>-10301949.940000005</v>
      </c>
      <c r="K16" s="504">
        <f t="shared" si="7"/>
        <v>938165019.95000005</v>
      </c>
      <c r="L16" s="504">
        <f t="shared" si="7"/>
        <v>0</v>
      </c>
      <c r="M16" s="504">
        <f t="shared" si="7"/>
        <v>0</v>
      </c>
      <c r="N16" s="504">
        <f t="shared" si="7"/>
        <v>0</v>
      </c>
      <c r="O16" s="504">
        <f t="shared" si="7"/>
        <v>0</v>
      </c>
      <c r="P16" s="504">
        <f t="shared" si="7"/>
        <v>0</v>
      </c>
      <c r="Q16" s="505">
        <f t="shared" si="7"/>
        <v>0</v>
      </c>
      <c r="R16" s="504">
        <f t="shared" si="7"/>
        <v>0</v>
      </c>
      <c r="S16" s="506">
        <f t="shared" si="7"/>
        <v>0</v>
      </c>
      <c r="T16" s="504">
        <f t="shared" si="7"/>
        <v>138974058.31</v>
      </c>
      <c r="U16" s="505">
        <f t="shared" si="7"/>
        <v>138974058.31</v>
      </c>
      <c r="V16" s="504">
        <f t="shared" si="7"/>
        <v>138974058.31</v>
      </c>
      <c r="W16" s="506">
        <f t="shared" si="7"/>
        <v>0</v>
      </c>
      <c r="X16" s="504">
        <f t="shared" si="7"/>
        <v>533648088.53999996</v>
      </c>
      <c r="Y16" s="505">
        <f t="shared" si="7"/>
        <v>533648088.53999996</v>
      </c>
      <c r="Z16" s="504">
        <f t="shared" si="7"/>
        <v>533599236.82999998</v>
      </c>
      <c r="AA16" s="506">
        <f t="shared" si="7"/>
        <v>-48851.710000000894</v>
      </c>
      <c r="AB16" s="504">
        <f t="shared" si="7"/>
        <v>119916700.13999999</v>
      </c>
      <c r="AC16" s="505">
        <f t="shared" si="7"/>
        <v>119916700.13999999</v>
      </c>
      <c r="AD16" s="504">
        <f t="shared" si="7"/>
        <v>119916700.13999999</v>
      </c>
      <c r="AE16" s="506">
        <f t="shared" si="7"/>
        <v>0</v>
      </c>
      <c r="AF16" s="504">
        <f t="shared" si="7"/>
        <v>133052528.49000001</v>
      </c>
      <c r="AG16" s="505">
        <f t="shared" si="7"/>
        <v>133052528.49000001</v>
      </c>
      <c r="AH16" s="504">
        <f t="shared" si="7"/>
        <v>122334271.39999999</v>
      </c>
      <c r="AI16" s="506">
        <f t="shared" si="7"/>
        <v>-10718257.090000002</v>
      </c>
      <c r="AJ16" s="504">
        <f t="shared" si="7"/>
        <v>66666187.639999993</v>
      </c>
      <c r="AK16" s="505">
        <f t="shared" si="7"/>
        <v>56027137.700000003</v>
      </c>
      <c r="AL16" s="504">
        <f t="shared" si="7"/>
        <v>23340753.27</v>
      </c>
      <c r="AM16" s="506">
        <f t="shared" si="7"/>
        <v>-32686384.430000007</v>
      </c>
      <c r="AN16" s="504">
        <f t="shared" ref="AN16:BH16" si="8">AN19+AN103+AN122+AN168+AN189</f>
        <v>14259981.320000002</v>
      </c>
      <c r="AO16" s="505">
        <f t="shared" si="8"/>
        <v>51461.71</v>
      </c>
      <c r="AP16" s="504">
        <f t="shared" si="8"/>
        <v>0</v>
      </c>
      <c r="AQ16" s="506">
        <f t="shared" si="8"/>
        <v>-51461.71</v>
      </c>
      <c r="AR16" s="504">
        <f t="shared" si="8"/>
        <v>16062890.26</v>
      </c>
      <c r="AS16" s="504">
        <f t="shared" si="8"/>
        <v>0</v>
      </c>
      <c r="AT16" s="504">
        <f t="shared" si="8"/>
        <v>0</v>
      </c>
      <c r="AU16" s="504">
        <f t="shared" si="8"/>
        <v>-48851.710000000894</v>
      </c>
      <c r="AV16" s="504">
        <f t="shared" si="8"/>
        <v>16022127.130000001</v>
      </c>
      <c r="AW16" s="504">
        <f t="shared" si="8"/>
        <v>0</v>
      </c>
      <c r="AX16" s="504">
        <f t="shared" si="8"/>
        <v>0</v>
      </c>
      <c r="AY16" s="504">
        <f t="shared" si="8"/>
        <v>0</v>
      </c>
      <c r="AZ16" s="504">
        <f t="shared" si="8"/>
        <v>38601800</v>
      </c>
      <c r="BA16" s="504">
        <f t="shared" si="8"/>
        <v>0</v>
      </c>
      <c r="BB16" s="504">
        <f t="shared" si="8"/>
        <v>0</v>
      </c>
      <c r="BC16" s="504">
        <f t="shared" si="8"/>
        <v>0</v>
      </c>
      <c r="BD16" s="504">
        <f t="shared" si="8"/>
        <v>35090488.109999999</v>
      </c>
      <c r="BE16" s="504">
        <f t="shared" si="8"/>
        <v>0</v>
      </c>
      <c r="BF16" s="505">
        <f t="shared" si="8"/>
        <v>0</v>
      </c>
      <c r="BG16" s="504">
        <f t="shared" si="8"/>
        <v>0</v>
      </c>
      <c r="BH16" s="506">
        <f t="shared" si="8"/>
        <v>0</v>
      </c>
      <c r="BI16" s="507"/>
      <c r="BJ16" s="508">
        <f>BJ19+BJ103+BJ122+BJ168+BJ189</f>
        <v>0</v>
      </c>
      <c r="BK16" s="509">
        <f>BK19+BK103+BK122+BK168+BK189</f>
        <v>0</v>
      </c>
      <c r="BL16" s="504">
        <f>BL19+BL103+BL122+BL168+BL189</f>
        <v>1081161200</v>
      </c>
      <c r="BM16" s="766"/>
      <c r="BN16" s="783"/>
      <c r="BO16" s="893"/>
      <c r="BQ16" s="230"/>
    </row>
    <row r="17" spans="1:69" s="724" customFormat="1" ht="51" customHeight="1" x14ac:dyDescent="0.2">
      <c r="A17" s="1135" t="s">
        <v>216</v>
      </c>
      <c r="B17" s="1136"/>
      <c r="C17" s="1136"/>
      <c r="D17" s="1136"/>
      <c r="E17" s="1137"/>
      <c r="F17" s="721" t="s">
        <v>64</v>
      </c>
      <c r="G17" s="722"/>
      <c r="H17" s="723">
        <f t="shared" ref="H17:AM17" si="9">H190</f>
        <v>9318700</v>
      </c>
      <c r="I17" s="730">
        <f t="shared" si="9"/>
        <v>9318700</v>
      </c>
      <c r="J17" s="723">
        <f t="shared" si="9"/>
        <v>0</v>
      </c>
      <c r="K17" s="723">
        <f t="shared" si="9"/>
        <v>9318700</v>
      </c>
      <c r="L17" s="723">
        <f t="shared" si="9"/>
        <v>0</v>
      </c>
      <c r="M17" s="723">
        <f t="shared" si="9"/>
        <v>0</v>
      </c>
      <c r="N17" s="723">
        <f t="shared" si="9"/>
        <v>0</v>
      </c>
      <c r="O17" s="723">
        <f t="shared" si="9"/>
        <v>0</v>
      </c>
      <c r="P17" s="723">
        <f t="shared" si="9"/>
        <v>0</v>
      </c>
      <c r="Q17" s="750">
        <f t="shared" si="9"/>
        <v>0</v>
      </c>
      <c r="R17" s="723">
        <f t="shared" si="9"/>
        <v>0</v>
      </c>
      <c r="S17" s="752">
        <f t="shared" si="9"/>
        <v>0</v>
      </c>
      <c r="T17" s="723">
        <f t="shared" si="9"/>
        <v>6449133.9800000004</v>
      </c>
      <c r="U17" s="750">
        <f t="shared" si="9"/>
        <v>6449133.9800000004</v>
      </c>
      <c r="V17" s="723">
        <f t="shared" si="9"/>
        <v>6449133.9800000004</v>
      </c>
      <c r="W17" s="752">
        <f t="shared" si="9"/>
        <v>0</v>
      </c>
      <c r="X17" s="723">
        <f t="shared" si="9"/>
        <v>2869566.02</v>
      </c>
      <c r="Y17" s="750">
        <f t="shared" si="9"/>
        <v>2869566.02</v>
      </c>
      <c r="Z17" s="723">
        <f t="shared" si="9"/>
        <v>2869566.02</v>
      </c>
      <c r="AA17" s="752">
        <f t="shared" si="9"/>
        <v>0</v>
      </c>
      <c r="AB17" s="723">
        <f t="shared" si="9"/>
        <v>0</v>
      </c>
      <c r="AC17" s="750">
        <f t="shared" si="9"/>
        <v>0</v>
      </c>
      <c r="AD17" s="723">
        <f t="shared" si="9"/>
        <v>0</v>
      </c>
      <c r="AE17" s="752">
        <f t="shared" si="9"/>
        <v>0</v>
      </c>
      <c r="AF17" s="723">
        <f t="shared" si="9"/>
        <v>0</v>
      </c>
      <c r="AG17" s="750">
        <f t="shared" si="9"/>
        <v>0</v>
      </c>
      <c r="AH17" s="723">
        <f t="shared" si="9"/>
        <v>0</v>
      </c>
      <c r="AI17" s="752">
        <f t="shared" si="9"/>
        <v>0</v>
      </c>
      <c r="AJ17" s="723">
        <f t="shared" si="9"/>
        <v>0</v>
      </c>
      <c r="AK17" s="750">
        <f t="shared" si="9"/>
        <v>0</v>
      </c>
      <c r="AL17" s="723">
        <f t="shared" si="9"/>
        <v>0</v>
      </c>
      <c r="AM17" s="752">
        <f t="shared" si="9"/>
        <v>0</v>
      </c>
      <c r="AN17" s="723">
        <f t="shared" ref="AN17:BH17" si="10">AN190</f>
        <v>0</v>
      </c>
      <c r="AO17" s="750">
        <f t="shared" si="10"/>
        <v>0</v>
      </c>
      <c r="AP17" s="723">
        <f t="shared" si="10"/>
        <v>0</v>
      </c>
      <c r="AQ17" s="752">
        <f t="shared" si="10"/>
        <v>0</v>
      </c>
      <c r="AR17" s="723">
        <f t="shared" si="10"/>
        <v>0</v>
      </c>
      <c r="AS17" s="723">
        <f t="shared" si="10"/>
        <v>0</v>
      </c>
      <c r="AT17" s="723">
        <f t="shared" si="10"/>
        <v>0</v>
      </c>
      <c r="AU17" s="723">
        <f t="shared" si="10"/>
        <v>0</v>
      </c>
      <c r="AV17" s="723">
        <f t="shared" si="10"/>
        <v>0</v>
      </c>
      <c r="AW17" s="723">
        <f t="shared" si="10"/>
        <v>0</v>
      </c>
      <c r="AX17" s="723">
        <f t="shared" si="10"/>
        <v>0</v>
      </c>
      <c r="AY17" s="723">
        <f t="shared" si="10"/>
        <v>0</v>
      </c>
      <c r="AZ17" s="723">
        <f t="shared" si="10"/>
        <v>0</v>
      </c>
      <c r="BA17" s="723">
        <f t="shared" si="10"/>
        <v>0</v>
      </c>
      <c r="BB17" s="723">
        <f t="shared" si="10"/>
        <v>0</v>
      </c>
      <c r="BC17" s="723">
        <f t="shared" si="10"/>
        <v>0</v>
      </c>
      <c r="BD17" s="723">
        <f t="shared" si="10"/>
        <v>0</v>
      </c>
      <c r="BE17" s="723">
        <f t="shared" si="10"/>
        <v>0</v>
      </c>
      <c r="BF17" s="723">
        <f t="shared" si="10"/>
        <v>0</v>
      </c>
      <c r="BG17" s="723">
        <f t="shared" si="10"/>
        <v>0</v>
      </c>
      <c r="BH17" s="723">
        <f t="shared" si="10"/>
        <v>0</v>
      </c>
      <c r="BI17" s="909"/>
      <c r="BJ17" s="723">
        <f>BJ190</f>
        <v>0</v>
      </c>
      <c r="BK17" s="723">
        <f>BK190</f>
        <v>0</v>
      </c>
      <c r="BL17" s="723">
        <f>BL190</f>
        <v>0</v>
      </c>
      <c r="BM17" s="767"/>
      <c r="BN17" s="795"/>
      <c r="BO17" s="897"/>
      <c r="BQ17" s="725"/>
    </row>
    <row r="18" spans="1:69" s="651" customFormat="1" ht="37.5" customHeight="1" x14ac:dyDescent="0.2">
      <c r="A18" s="1144" t="s">
        <v>217</v>
      </c>
      <c r="B18" s="1145"/>
      <c r="C18" s="1145"/>
      <c r="D18" s="1145"/>
      <c r="E18" s="1146"/>
      <c r="F18" s="647" t="s">
        <v>14</v>
      </c>
      <c r="G18" s="648"/>
      <c r="H18" s="649">
        <f>SUMIF($F$20:$F$100,"=31",H20:H100)</f>
        <v>2419754411.8399997</v>
      </c>
      <c r="I18" s="649">
        <f t="shared" ref="I18:BL18" si="11">SUMIF($F$20:$F$100,"=31",I20:I100)</f>
        <v>2427580939.2801795</v>
      </c>
      <c r="J18" s="649">
        <f t="shared" si="11"/>
        <v>-7826527.4401803268</v>
      </c>
      <c r="K18" s="649">
        <f t="shared" si="11"/>
        <v>1198245467.5699999</v>
      </c>
      <c r="L18" s="649">
        <f t="shared" si="11"/>
        <v>0</v>
      </c>
      <c r="M18" s="649">
        <f t="shared" si="11"/>
        <v>0</v>
      </c>
      <c r="N18" s="649">
        <f t="shared" si="11"/>
        <v>0</v>
      </c>
      <c r="O18" s="649">
        <f t="shared" si="11"/>
        <v>0</v>
      </c>
      <c r="P18" s="649">
        <f t="shared" si="11"/>
        <v>0</v>
      </c>
      <c r="Q18" s="649">
        <f t="shared" si="11"/>
        <v>0</v>
      </c>
      <c r="R18" s="649">
        <f t="shared" si="11"/>
        <v>0</v>
      </c>
      <c r="S18" s="649">
        <f t="shared" si="11"/>
        <v>0</v>
      </c>
      <c r="T18" s="649">
        <f t="shared" si="11"/>
        <v>71829245.100000009</v>
      </c>
      <c r="U18" s="649">
        <f t="shared" si="11"/>
        <v>71829245.100000009</v>
      </c>
      <c r="V18" s="649">
        <f t="shared" si="11"/>
        <v>71829245.100000009</v>
      </c>
      <c r="W18" s="649">
        <f t="shared" si="11"/>
        <v>0</v>
      </c>
      <c r="X18" s="649">
        <f t="shared" si="11"/>
        <v>488708602.55000007</v>
      </c>
      <c r="Y18" s="649">
        <f t="shared" si="11"/>
        <v>488708602.55000007</v>
      </c>
      <c r="Z18" s="649">
        <f t="shared" si="11"/>
        <v>488688649.04000002</v>
      </c>
      <c r="AA18" s="649">
        <f t="shared" si="11"/>
        <v>-19953.510000001639</v>
      </c>
      <c r="AB18" s="649">
        <f t="shared" si="11"/>
        <v>60387947.969999999</v>
      </c>
      <c r="AC18" s="649">
        <f t="shared" si="11"/>
        <v>60387947.969999999</v>
      </c>
      <c r="AD18" s="649">
        <f t="shared" si="11"/>
        <v>60387947.969999999</v>
      </c>
      <c r="AE18" s="649">
        <f t="shared" si="11"/>
        <v>0</v>
      </c>
      <c r="AF18" s="649">
        <f t="shared" si="11"/>
        <v>577339625.55000007</v>
      </c>
      <c r="AG18" s="649">
        <f t="shared" si="11"/>
        <v>577339625.55000007</v>
      </c>
      <c r="AH18" s="649">
        <f t="shared" si="11"/>
        <v>572994097.94000006</v>
      </c>
      <c r="AI18" s="649">
        <f t="shared" si="11"/>
        <v>-4345527.6099999957</v>
      </c>
      <c r="AJ18" s="649">
        <f t="shared" si="11"/>
        <v>41447657.890000001</v>
      </c>
      <c r="AK18" s="649">
        <f t="shared" si="11"/>
        <v>37102130.450000003</v>
      </c>
      <c r="AL18" s="649">
        <f t="shared" si="11"/>
        <v>4345527.5199999996</v>
      </c>
      <c r="AM18" s="649">
        <f t="shared" si="11"/>
        <v>-32756602.929999996</v>
      </c>
      <c r="AN18" s="649">
        <f t="shared" si="11"/>
        <v>919258058.95999992</v>
      </c>
      <c r="AO18" s="649">
        <f t="shared" si="11"/>
        <v>18121000</v>
      </c>
      <c r="AP18" s="649">
        <f t="shared" si="11"/>
        <v>0</v>
      </c>
      <c r="AQ18" s="649">
        <f t="shared" si="11"/>
        <v>-18121000</v>
      </c>
      <c r="AR18" s="649">
        <f t="shared" si="11"/>
        <v>129848752.70999999</v>
      </c>
      <c r="AS18" s="649">
        <f t="shared" si="11"/>
        <v>0</v>
      </c>
      <c r="AT18" s="649">
        <f t="shared" si="11"/>
        <v>0</v>
      </c>
      <c r="AU18" s="649">
        <f t="shared" si="11"/>
        <v>-19953.510000001639</v>
      </c>
      <c r="AV18" s="649">
        <f t="shared" si="11"/>
        <v>6984207.1799999997</v>
      </c>
      <c r="AW18" s="649">
        <f t="shared" si="11"/>
        <v>0</v>
      </c>
      <c r="AX18" s="649">
        <f t="shared" si="11"/>
        <v>0</v>
      </c>
      <c r="AY18" s="649">
        <f t="shared" si="11"/>
        <v>0</v>
      </c>
      <c r="AZ18" s="649">
        <f t="shared" si="11"/>
        <v>76233186.560000002</v>
      </c>
      <c r="BA18" s="649">
        <f t="shared" si="11"/>
        <v>0</v>
      </c>
      <c r="BB18" s="649">
        <f t="shared" si="11"/>
        <v>0</v>
      </c>
      <c r="BC18" s="649">
        <f t="shared" si="11"/>
        <v>0</v>
      </c>
      <c r="BD18" s="649">
        <f t="shared" si="11"/>
        <v>55543654.810180366</v>
      </c>
      <c r="BE18" s="649">
        <f t="shared" si="11"/>
        <v>0</v>
      </c>
      <c r="BF18" s="649">
        <f t="shared" si="11"/>
        <v>0</v>
      </c>
      <c r="BG18" s="649">
        <f t="shared" si="11"/>
        <v>0</v>
      </c>
      <c r="BH18" s="649">
        <f t="shared" si="11"/>
        <v>0</v>
      </c>
      <c r="BI18" s="649"/>
      <c r="BJ18" s="649">
        <f t="shared" si="11"/>
        <v>0</v>
      </c>
      <c r="BK18" s="649">
        <f t="shared" si="11"/>
        <v>0</v>
      </c>
      <c r="BL18" s="649">
        <f t="shared" si="11"/>
        <v>2373478711.0299993</v>
      </c>
      <c r="BM18" s="768"/>
      <c r="BN18" s="796"/>
      <c r="BO18" s="898"/>
      <c r="BQ18" s="652"/>
    </row>
    <row r="19" spans="1:69" s="651" customFormat="1" ht="35.25" customHeight="1" x14ac:dyDescent="0.2">
      <c r="A19" s="1141" t="s">
        <v>218</v>
      </c>
      <c r="B19" s="1142"/>
      <c r="C19" s="1142"/>
      <c r="D19" s="1142"/>
      <c r="E19" s="1143"/>
      <c r="F19" s="653" t="s">
        <v>16</v>
      </c>
      <c r="G19" s="654"/>
      <c r="H19" s="655">
        <f>SUMIF($F$20:$F$100,"=32",H20:H100)</f>
        <v>866566199.99999988</v>
      </c>
      <c r="I19" s="655">
        <f t="shared" ref="I19:BD19" si="12">SUMIF($F$20:$F$100,"=32",I20:I100)</f>
        <v>877205249.94000006</v>
      </c>
      <c r="J19" s="655">
        <f t="shared" si="12"/>
        <v>-10639049.940000005</v>
      </c>
      <c r="K19" s="655">
        <f t="shared" si="12"/>
        <v>757779561.61000001</v>
      </c>
      <c r="L19" s="655">
        <f t="shared" si="12"/>
        <v>0</v>
      </c>
      <c r="M19" s="655">
        <f t="shared" si="12"/>
        <v>0</v>
      </c>
      <c r="N19" s="655">
        <f t="shared" si="12"/>
        <v>0</v>
      </c>
      <c r="O19" s="655">
        <f t="shared" si="12"/>
        <v>0</v>
      </c>
      <c r="P19" s="655">
        <f t="shared" si="12"/>
        <v>0</v>
      </c>
      <c r="Q19" s="655">
        <f t="shared" si="12"/>
        <v>0</v>
      </c>
      <c r="R19" s="655">
        <f t="shared" si="12"/>
        <v>0</v>
      </c>
      <c r="S19" s="655">
        <f t="shared" si="12"/>
        <v>0</v>
      </c>
      <c r="T19" s="655">
        <f t="shared" si="12"/>
        <v>117844449.19</v>
      </c>
      <c r="U19" s="655">
        <f t="shared" si="12"/>
        <v>117844449.19</v>
      </c>
      <c r="V19" s="655">
        <f t="shared" si="12"/>
        <v>117844449.19</v>
      </c>
      <c r="W19" s="655">
        <f t="shared" si="12"/>
        <v>0</v>
      </c>
      <c r="X19" s="655">
        <f t="shared" si="12"/>
        <v>529266474.22999996</v>
      </c>
      <c r="Y19" s="655">
        <f t="shared" si="12"/>
        <v>529266474.22999996</v>
      </c>
      <c r="Z19" s="655">
        <f t="shared" si="12"/>
        <v>529217622.51999998</v>
      </c>
      <c r="AA19" s="655">
        <f t="shared" si="12"/>
        <v>-48851.710000000894</v>
      </c>
      <c r="AB19" s="655">
        <f t="shared" si="12"/>
        <v>240290.38</v>
      </c>
      <c r="AC19" s="655">
        <f t="shared" si="12"/>
        <v>240290.38</v>
      </c>
      <c r="AD19" s="655">
        <f t="shared" si="12"/>
        <v>240290.38</v>
      </c>
      <c r="AE19" s="655">
        <f t="shared" si="12"/>
        <v>0</v>
      </c>
      <c r="AF19" s="655">
        <f t="shared" si="12"/>
        <v>110477199.81</v>
      </c>
      <c r="AG19" s="655">
        <f t="shared" si="12"/>
        <v>110477199.81</v>
      </c>
      <c r="AH19" s="655">
        <f t="shared" si="12"/>
        <v>99838149.389999986</v>
      </c>
      <c r="AI19" s="655">
        <f t="shared" si="12"/>
        <v>-10639050.420000002</v>
      </c>
      <c r="AJ19" s="655">
        <f t="shared" si="12"/>
        <v>44973671.169999994</v>
      </c>
      <c r="AK19" s="655">
        <f t="shared" si="12"/>
        <v>34334621.230000004</v>
      </c>
      <c r="AL19" s="655">
        <f t="shared" si="12"/>
        <v>10639050.129999999</v>
      </c>
      <c r="AM19" s="655">
        <f t="shared" si="12"/>
        <v>-23695571.100000005</v>
      </c>
      <c r="AN19" s="655">
        <f t="shared" si="12"/>
        <v>6000011.04</v>
      </c>
      <c r="AO19" s="655">
        <f t="shared" si="12"/>
        <v>0</v>
      </c>
      <c r="AP19" s="655">
        <f t="shared" si="12"/>
        <v>0</v>
      </c>
      <c r="AQ19" s="655">
        <f t="shared" si="12"/>
        <v>0</v>
      </c>
      <c r="AR19" s="655">
        <f t="shared" si="12"/>
        <v>15958390.5</v>
      </c>
      <c r="AS19" s="655">
        <f t="shared" si="12"/>
        <v>0</v>
      </c>
      <c r="AT19" s="655">
        <f t="shared" si="12"/>
        <v>0</v>
      </c>
      <c r="AU19" s="655">
        <f t="shared" si="12"/>
        <v>-48851.710000000894</v>
      </c>
      <c r="AV19" s="655">
        <f t="shared" si="12"/>
        <v>6014229.3200000003</v>
      </c>
      <c r="AW19" s="655">
        <f t="shared" si="12"/>
        <v>0</v>
      </c>
      <c r="AX19" s="655">
        <f t="shared" si="12"/>
        <v>0</v>
      </c>
      <c r="AY19" s="655">
        <f t="shared" si="12"/>
        <v>0</v>
      </c>
      <c r="AZ19" s="655">
        <f t="shared" si="12"/>
        <v>11800000</v>
      </c>
      <c r="BA19" s="655">
        <f t="shared" si="12"/>
        <v>0</v>
      </c>
      <c r="BB19" s="655">
        <f t="shared" si="12"/>
        <v>0</v>
      </c>
      <c r="BC19" s="655">
        <f t="shared" si="12"/>
        <v>0</v>
      </c>
      <c r="BD19" s="655">
        <f t="shared" si="12"/>
        <v>34630534.299999997</v>
      </c>
      <c r="BE19" s="655">
        <f>SUMIF($F$20:$F$100,"=32",BE20:BE100)</f>
        <v>0</v>
      </c>
      <c r="BF19" s="655">
        <f>SUMIF($F$20:$F$100,"=32",BF20:BF100)</f>
        <v>0</v>
      </c>
      <c r="BG19" s="655">
        <f>SUMIF($F$20:$F$100,"=32",BG20:BG100)</f>
        <v>0</v>
      </c>
      <c r="BH19" s="655">
        <f>SUMIF($F$20:$F$100,"=32",BH20:BH100)</f>
        <v>0</v>
      </c>
      <c r="BI19" s="655"/>
      <c r="BJ19" s="655">
        <f>SUMIF($F$20:$F$100,"=32",BJ20:BJ100)</f>
        <v>0</v>
      </c>
      <c r="BK19" s="655">
        <f>SUMIF($F$20:$F$100,"=32",BK20:BK100)</f>
        <v>0</v>
      </c>
      <c r="BL19" s="655">
        <f>SUMIF($F$20:$F$100,"=32",BL20:BL100)</f>
        <v>866566199.99999988</v>
      </c>
      <c r="BM19" s="769"/>
      <c r="BN19" s="796"/>
      <c r="BO19" s="898"/>
      <c r="BQ19" s="652"/>
    </row>
    <row r="20" spans="1:69" ht="19.5" x14ac:dyDescent="0.2">
      <c r="A20" s="1082" t="s">
        <v>68</v>
      </c>
      <c r="B20" s="232" t="s">
        <v>219</v>
      </c>
      <c r="C20" s="242" t="s">
        <v>69</v>
      </c>
      <c r="D20" s="232" t="s">
        <v>12</v>
      </c>
      <c r="E20" s="232" t="s">
        <v>220</v>
      </c>
      <c r="F20" s="430" t="s">
        <v>14</v>
      </c>
      <c r="G20" s="232"/>
      <c r="H20" s="202">
        <v>1025000</v>
      </c>
      <c r="I20" s="510">
        <f t="shared" ref="I20:I43" si="13">L20+P20+T20+X20+AB20+AF20+AJ20+AN20+AR20+AV20+AZ20+BD20</f>
        <v>1025000</v>
      </c>
      <c r="J20" s="164">
        <f t="shared" ref="J20:J45" si="14">H20-I20</f>
        <v>0</v>
      </c>
      <c r="K20" s="164">
        <f t="shared" ref="K20:K45" si="15">N20+R20+V20+Z20+AD20+AH20+AL20+AP20+AT20+AX20+BB20+BG20</f>
        <v>0</v>
      </c>
      <c r="L20" s="202"/>
      <c r="M20" s="233"/>
      <c r="N20" s="202"/>
      <c r="O20" s="234"/>
      <c r="P20" s="511"/>
      <c r="Q20" s="512"/>
      <c r="R20" s="202"/>
      <c r="S20" s="241"/>
      <c r="T20" s="202"/>
      <c r="U20" s="233"/>
      <c r="V20" s="202"/>
      <c r="W20" s="234">
        <f t="shared" ref="W20:W86" si="16">V20-U20</f>
        <v>0</v>
      </c>
      <c r="X20" s="501"/>
      <c r="Y20" s="233"/>
      <c r="Z20" s="202"/>
      <c r="AA20" s="234">
        <f t="shared" ref="AA20:AA86" si="17">Z20-Y20</f>
        <v>0</v>
      </c>
      <c r="AB20" s="501"/>
      <c r="AC20" s="233"/>
      <c r="AD20" s="202"/>
      <c r="AE20" s="234">
        <f t="shared" ref="AE20:AE41" si="18">AD20-AC20</f>
        <v>0</v>
      </c>
      <c r="AF20" s="501"/>
      <c r="AG20" s="233"/>
      <c r="AH20" s="202"/>
      <c r="AI20" s="234">
        <f>AH20-AG20</f>
        <v>0</v>
      </c>
      <c r="AJ20" s="202"/>
      <c r="AK20" s="233"/>
      <c r="AL20" s="202"/>
      <c r="AM20" s="234">
        <f t="shared" ref="AM20:AM43" si="19">AL20-AK20</f>
        <v>0</v>
      </c>
      <c r="AN20" s="501">
        <v>1025000</v>
      </c>
      <c r="AO20" s="233"/>
      <c r="AP20" s="202"/>
      <c r="AQ20" s="234">
        <f t="shared" ref="AQ20:AQ44" si="20">AP20-AO20</f>
        <v>0</v>
      </c>
      <c r="AR20" s="501"/>
      <c r="AS20" s="233"/>
      <c r="AT20" s="202"/>
      <c r="AU20" s="234">
        <f t="shared" ref="AU20:AU46" si="21">AT20-AS20</f>
        <v>0</v>
      </c>
      <c r="AV20" s="501"/>
      <c r="AW20" s="233"/>
      <c r="AX20" s="202"/>
      <c r="AY20" s="234">
        <f t="shared" ref="AY20:AY45" si="22">AX20-AW20</f>
        <v>0</v>
      </c>
      <c r="AZ20" s="501"/>
      <c r="BA20" s="233"/>
      <c r="BB20" s="202"/>
      <c r="BC20" s="234"/>
      <c r="BD20" s="517"/>
      <c r="BE20" s="517"/>
      <c r="BF20" s="235"/>
      <c r="BG20" s="236"/>
      <c r="BH20" s="234">
        <f>BG20-BF20</f>
        <v>0</v>
      </c>
      <c r="BI20" s="514"/>
      <c r="BJ20" s="202"/>
      <c r="BK20" s="515"/>
      <c r="BL20" s="501">
        <f t="shared" ref="BL20:BL52" si="23">H20+BJ20+BK20</f>
        <v>1025000</v>
      </c>
      <c r="BM20" s="158"/>
      <c r="BN20" s="783"/>
      <c r="BO20" s="132"/>
      <c r="BQ20" s="230" t="str">
        <f>IF(BJ20&gt;0,BJ20,"")</f>
        <v/>
      </c>
    </row>
    <row r="21" spans="1:69" ht="19.5" x14ac:dyDescent="0.2">
      <c r="A21" s="1083"/>
      <c r="B21" s="232" t="s">
        <v>219</v>
      </c>
      <c r="C21" s="242" t="s">
        <v>69</v>
      </c>
      <c r="D21" s="232" t="s">
        <v>12</v>
      </c>
      <c r="E21" s="232" t="s">
        <v>221</v>
      </c>
      <c r="F21" s="430" t="s">
        <v>14</v>
      </c>
      <c r="G21" s="232"/>
      <c r="H21" s="202">
        <v>33165100</v>
      </c>
      <c r="I21" s="510">
        <f t="shared" si="13"/>
        <v>33165100</v>
      </c>
      <c r="J21" s="164">
        <f t="shared" si="14"/>
        <v>0</v>
      </c>
      <c r="K21" s="164">
        <f t="shared" si="15"/>
        <v>0</v>
      </c>
      <c r="L21" s="202"/>
      <c r="M21" s="233"/>
      <c r="N21" s="202"/>
      <c r="O21" s="234"/>
      <c r="P21" s="511"/>
      <c r="Q21" s="512"/>
      <c r="R21" s="202"/>
      <c r="S21" s="241"/>
      <c r="T21" s="202"/>
      <c r="U21" s="233"/>
      <c r="V21" s="202"/>
      <c r="W21" s="234">
        <f t="shared" si="16"/>
        <v>0</v>
      </c>
      <c r="X21" s="501"/>
      <c r="Y21" s="233"/>
      <c r="Z21" s="202"/>
      <c r="AA21" s="234">
        <f t="shared" si="17"/>
        <v>0</v>
      </c>
      <c r="AB21" s="202"/>
      <c r="AC21" s="233"/>
      <c r="AD21" s="202"/>
      <c r="AE21" s="234">
        <f t="shared" si="18"/>
        <v>0</v>
      </c>
      <c r="AF21" s="501"/>
      <c r="AG21" s="233"/>
      <c r="AH21" s="202"/>
      <c r="AI21" s="234">
        <f>AH21-AG21</f>
        <v>0</v>
      </c>
      <c r="AJ21" s="202"/>
      <c r="AK21" s="233"/>
      <c r="AL21" s="202"/>
      <c r="AM21" s="234">
        <f t="shared" si="19"/>
        <v>0</v>
      </c>
      <c r="AN21" s="501">
        <v>33165100</v>
      </c>
      <c r="AO21" s="233"/>
      <c r="AP21" s="202"/>
      <c r="AQ21" s="234">
        <f t="shared" si="20"/>
        <v>0</v>
      </c>
      <c r="AR21" s="501"/>
      <c r="AS21" s="233"/>
      <c r="AT21" s="202"/>
      <c r="AU21" s="234">
        <f t="shared" si="21"/>
        <v>0</v>
      </c>
      <c r="AV21" s="501"/>
      <c r="AW21" s="233"/>
      <c r="AX21" s="202"/>
      <c r="AY21" s="234">
        <f t="shared" si="22"/>
        <v>0</v>
      </c>
      <c r="AZ21" s="501"/>
      <c r="BA21" s="233"/>
      <c r="BB21" s="202"/>
      <c r="BC21" s="234">
        <f t="shared" ref="BC21:BC45" si="24">BB21-BA21</f>
        <v>0</v>
      </c>
      <c r="BD21" s="517"/>
      <c r="BE21" s="517"/>
      <c r="BF21" s="235"/>
      <c r="BG21" s="236"/>
      <c r="BH21" s="234">
        <f>BG21-BF21</f>
        <v>0</v>
      </c>
      <c r="BI21" s="514"/>
      <c r="BJ21" s="202"/>
      <c r="BK21" s="515"/>
      <c r="BL21" s="501">
        <f t="shared" si="23"/>
        <v>33165100</v>
      </c>
      <c r="BM21" s="158"/>
      <c r="BN21" s="783"/>
      <c r="BO21" s="132"/>
      <c r="BQ21" s="230" t="str">
        <f>IF(BJ21&gt;0,BJ21,"")</f>
        <v/>
      </c>
    </row>
    <row r="22" spans="1:69" ht="19.5" x14ac:dyDescent="0.2">
      <c r="A22" s="1083"/>
      <c r="B22" s="232" t="s">
        <v>219</v>
      </c>
      <c r="C22" s="242" t="s">
        <v>69</v>
      </c>
      <c r="D22" s="232" t="s">
        <v>12</v>
      </c>
      <c r="E22" s="232" t="s">
        <v>231</v>
      </c>
      <c r="F22" s="430" t="s">
        <v>14</v>
      </c>
      <c r="G22" s="232"/>
      <c r="H22" s="202">
        <v>4800000</v>
      </c>
      <c r="I22" s="510">
        <f t="shared" si="13"/>
        <v>4800000</v>
      </c>
      <c r="J22" s="164">
        <f t="shared" si="14"/>
        <v>0</v>
      </c>
      <c r="K22" s="164">
        <f t="shared" si="15"/>
        <v>0</v>
      </c>
      <c r="L22" s="202"/>
      <c r="M22" s="233"/>
      <c r="N22" s="202"/>
      <c r="O22" s="234"/>
      <c r="P22" s="511"/>
      <c r="Q22" s="512"/>
      <c r="R22" s="202"/>
      <c r="S22" s="241"/>
      <c r="T22" s="202"/>
      <c r="U22" s="233"/>
      <c r="V22" s="202"/>
      <c r="W22" s="234">
        <f t="shared" si="16"/>
        <v>0</v>
      </c>
      <c r="X22" s="501"/>
      <c r="Y22" s="233"/>
      <c r="Z22" s="202"/>
      <c r="AA22" s="234">
        <f t="shared" si="17"/>
        <v>0</v>
      </c>
      <c r="AB22" s="202"/>
      <c r="AC22" s="233"/>
      <c r="AD22" s="202"/>
      <c r="AE22" s="234">
        <f t="shared" si="18"/>
        <v>0</v>
      </c>
      <c r="AF22" s="501"/>
      <c r="AG22" s="233"/>
      <c r="AH22" s="202"/>
      <c r="AI22" s="234">
        <f>AH22-AG22</f>
        <v>0</v>
      </c>
      <c r="AJ22" s="202"/>
      <c r="AK22" s="233"/>
      <c r="AL22" s="202"/>
      <c r="AM22" s="234">
        <f t="shared" si="19"/>
        <v>0</v>
      </c>
      <c r="AN22" s="501">
        <v>4800000</v>
      </c>
      <c r="AO22" s="233"/>
      <c r="AP22" s="202"/>
      <c r="AQ22" s="234">
        <f t="shared" si="20"/>
        <v>0</v>
      </c>
      <c r="AR22" s="501"/>
      <c r="AS22" s="233"/>
      <c r="AT22" s="202"/>
      <c r="AU22" s="234">
        <f t="shared" si="21"/>
        <v>0</v>
      </c>
      <c r="AV22" s="501"/>
      <c r="AW22" s="233"/>
      <c r="AX22" s="202"/>
      <c r="AY22" s="234">
        <f t="shared" si="22"/>
        <v>0</v>
      </c>
      <c r="AZ22" s="501"/>
      <c r="BA22" s="233"/>
      <c r="BB22" s="202"/>
      <c r="BC22" s="234"/>
      <c r="BD22" s="517"/>
      <c r="BE22" s="517"/>
      <c r="BF22" s="235"/>
      <c r="BG22" s="236"/>
      <c r="BH22" s="234"/>
      <c r="BI22" s="514"/>
      <c r="BJ22" s="202"/>
      <c r="BK22" s="515"/>
      <c r="BL22" s="501">
        <f t="shared" si="23"/>
        <v>4800000</v>
      </c>
      <c r="BM22" s="158"/>
      <c r="BN22" s="783"/>
      <c r="BO22" s="132"/>
      <c r="BQ22" s="230"/>
    </row>
    <row r="23" spans="1:69" ht="47.25" x14ac:dyDescent="0.2">
      <c r="A23" s="583" t="s">
        <v>70</v>
      </c>
      <c r="B23" s="232" t="s">
        <v>219</v>
      </c>
      <c r="C23" s="232" t="s">
        <v>71</v>
      </c>
      <c r="D23" s="232" t="s">
        <v>12</v>
      </c>
      <c r="E23" s="232" t="s">
        <v>223</v>
      </c>
      <c r="F23" s="430" t="s">
        <v>14</v>
      </c>
      <c r="G23" s="232"/>
      <c r="H23" s="202">
        <f>340580000-340580000</f>
        <v>0</v>
      </c>
      <c r="I23" s="510">
        <f t="shared" si="13"/>
        <v>0</v>
      </c>
      <c r="J23" s="164">
        <f t="shared" si="14"/>
        <v>0</v>
      </c>
      <c r="K23" s="164">
        <f t="shared" si="15"/>
        <v>0</v>
      </c>
      <c r="L23" s="202"/>
      <c r="M23" s="233"/>
      <c r="N23" s="202"/>
      <c r="O23" s="234"/>
      <c r="P23" s="202"/>
      <c r="Q23" s="512"/>
      <c r="R23" s="202"/>
      <c r="S23" s="241"/>
      <c r="T23" s="202"/>
      <c r="U23" s="233"/>
      <c r="V23" s="202"/>
      <c r="W23" s="234">
        <f t="shared" si="16"/>
        <v>0</v>
      </c>
      <c r="X23" s="202"/>
      <c r="Y23" s="233"/>
      <c r="Z23" s="202"/>
      <c r="AA23" s="234">
        <f>Z23-Y23+W23</f>
        <v>0</v>
      </c>
      <c r="AB23" s="202"/>
      <c r="AC23" s="233"/>
      <c r="AD23" s="202"/>
      <c r="AE23" s="234">
        <f t="shared" si="18"/>
        <v>0</v>
      </c>
      <c r="AF23" s="202"/>
      <c r="AG23" s="233"/>
      <c r="AH23" s="202"/>
      <c r="AI23" s="234">
        <f>AH23-AG23+AA23</f>
        <v>0</v>
      </c>
      <c r="AJ23" s="202"/>
      <c r="AK23" s="233"/>
      <c r="AL23" s="202"/>
      <c r="AM23" s="234">
        <f t="shared" si="19"/>
        <v>0</v>
      </c>
      <c r="AN23" s="202"/>
      <c r="AO23" s="233"/>
      <c r="AP23" s="202"/>
      <c r="AQ23" s="234">
        <f t="shared" si="20"/>
        <v>0</v>
      </c>
      <c r="AR23" s="202"/>
      <c r="AS23" s="233"/>
      <c r="AT23" s="202"/>
      <c r="AU23" s="234">
        <f t="shared" si="21"/>
        <v>0</v>
      </c>
      <c r="AV23" s="202"/>
      <c r="AW23" s="233"/>
      <c r="AX23" s="202"/>
      <c r="AY23" s="234">
        <f t="shared" si="22"/>
        <v>0</v>
      </c>
      <c r="AZ23" s="202"/>
      <c r="BA23" s="233"/>
      <c r="BB23" s="202"/>
      <c r="BC23" s="234">
        <f t="shared" si="24"/>
        <v>0</v>
      </c>
      <c r="BD23" s="202"/>
      <c r="BE23" s="202"/>
      <c r="BF23" s="235"/>
      <c r="BG23" s="236"/>
      <c r="BH23" s="234">
        <f>BG23-BF23</f>
        <v>0</v>
      </c>
      <c r="BI23" s="514"/>
      <c r="BJ23" s="202"/>
      <c r="BK23" s="515"/>
      <c r="BL23" s="501">
        <f t="shared" si="23"/>
        <v>0</v>
      </c>
      <c r="BM23" s="158"/>
      <c r="BN23" s="164"/>
      <c r="BO23" s="132"/>
      <c r="BQ23" s="230" t="str">
        <f>IF(BJ23&gt;0,BJ23,"")</f>
        <v/>
      </c>
    </row>
    <row r="24" spans="1:69" ht="34.5" customHeight="1" x14ac:dyDescent="0.2">
      <c r="A24" s="1077" t="s">
        <v>72</v>
      </c>
      <c r="B24" s="232" t="s">
        <v>219</v>
      </c>
      <c r="C24" s="242" t="s">
        <v>73</v>
      </c>
      <c r="D24" s="232" t="s">
        <v>12</v>
      </c>
      <c r="E24" s="232" t="s">
        <v>220</v>
      </c>
      <c r="F24" s="430" t="s">
        <v>14</v>
      </c>
      <c r="G24" s="232"/>
      <c r="H24" s="202">
        <f>1500000+479329.8</f>
        <v>1979329.8</v>
      </c>
      <c r="I24" s="518">
        <f t="shared" si="13"/>
        <v>1979329.8</v>
      </c>
      <c r="J24" s="164">
        <f t="shared" si="14"/>
        <v>0</v>
      </c>
      <c r="K24" s="164">
        <f t="shared" si="15"/>
        <v>1979329.8</v>
      </c>
      <c r="L24" s="202"/>
      <c r="M24" s="233"/>
      <c r="N24" s="202"/>
      <c r="O24" s="234"/>
      <c r="P24" s="511"/>
      <c r="Q24" s="512"/>
      <c r="R24" s="202"/>
      <c r="S24" s="241"/>
      <c r="T24" s="202"/>
      <c r="U24" s="233"/>
      <c r="V24" s="202"/>
      <c r="W24" s="234">
        <f t="shared" si="16"/>
        <v>0</v>
      </c>
      <c r="X24" s="202">
        <v>1979329.8</v>
      </c>
      <c r="Y24" s="233">
        <v>1979329.8</v>
      </c>
      <c r="Z24" s="202">
        <v>1979329.8</v>
      </c>
      <c r="AA24" s="234">
        <f t="shared" si="17"/>
        <v>0</v>
      </c>
      <c r="AB24" s="202"/>
      <c r="AC24" s="233"/>
      <c r="AD24" s="202"/>
      <c r="AE24" s="234">
        <f t="shared" si="18"/>
        <v>0</v>
      </c>
      <c r="AF24" s="202"/>
      <c r="AG24" s="233"/>
      <c r="AH24" s="202"/>
      <c r="AI24" s="234">
        <f t="shared" ref="AI24:AI46" si="25">AH24-AG24</f>
        <v>0</v>
      </c>
      <c r="AJ24" s="202"/>
      <c r="AK24" s="233"/>
      <c r="AL24" s="202"/>
      <c r="AM24" s="234">
        <f t="shared" si="19"/>
        <v>0</v>
      </c>
      <c r="AN24" s="202"/>
      <c r="AO24" s="233"/>
      <c r="AP24" s="202"/>
      <c r="AQ24" s="234">
        <f t="shared" si="20"/>
        <v>0</v>
      </c>
      <c r="AR24" s="202"/>
      <c r="AS24" s="233"/>
      <c r="AT24" s="202"/>
      <c r="AU24" s="234">
        <f t="shared" si="21"/>
        <v>0</v>
      </c>
      <c r="AV24" s="519"/>
      <c r="AW24" s="233"/>
      <c r="AX24" s="202"/>
      <c r="AY24" s="234">
        <f t="shared" si="22"/>
        <v>0</v>
      </c>
      <c r="AZ24" s="202"/>
      <c r="BA24" s="233"/>
      <c r="BB24" s="202"/>
      <c r="BC24" s="513">
        <f t="shared" si="24"/>
        <v>0</v>
      </c>
      <c r="BD24" s="202"/>
      <c r="BE24" s="202"/>
      <c r="BF24" s="235"/>
      <c r="BG24" s="236"/>
      <c r="BH24" s="234">
        <f>BG24-BF24</f>
        <v>0</v>
      </c>
      <c r="BI24" s="514"/>
      <c r="BJ24" s="202"/>
      <c r="BK24" s="515"/>
      <c r="BL24" s="501">
        <f t="shared" si="23"/>
        <v>1979329.8</v>
      </c>
      <c r="BM24" s="158"/>
      <c r="BN24" s="1128" t="s">
        <v>507</v>
      </c>
      <c r="BO24" s="132"/>
      <c r="BQ24" s="230" t="str">
        <f>IF(BJ24&gt;0,BJ24,"")</f>
        <v/>
      </c>
    </row>
    <row r="25" spans="1:69" ht="36.75" customHeight="1" x14ac:dyDescent="0.2">
      <c r="A25" s="1078"/>
      <c r="B25" s="232" t="s">
        <v>219</v>
      </c>
      <c r="C25" s="242" t="s">
        <v>73</v>
      </c>
      <c r="D25" s="232" t="s">
        <v>12</v>
      </c>
      <c r="E25" s="232" t="s">
        <v>221</v>
      </c>
      <c r="F25" s="430" t="s">
        <v>14</v>
      </c>
      <c r="G25" s="232"/>
      <c r="H25" s="202">
        <f>170106800+100-4617454.2</f>
        <v>165489445.80000001</v>
      </c>
      <c r="I25" s="518">
        <f t="shared" si="13"/>
        <v>165489445.79999998</v>
      </c>
      <c r="J25" s="261">
        <f t="shared" si="14"/>
        <v>0</v>
      </c>
      <c r="K25" s="164">
        <f t="shared" si="15"/>
        <v>151760607.75999999</v>
      </c>
      <c r="L25" s="202"/>
      <c r="M25" s="233"/>
      <c r="N25" s="202"/>
      <c r="O25" s="234"/>
      <c r="P25" s="511"/>
      <c r="Q25" s="512"/>
      <c r="R25" s="202"/>
      <c r="S25" s="241"/>
      <c r="T25" s="202"/>
      <c r="U25" s="233"/>
      <c r="V25" s="202"/>
      <c r="W25" s="234">
        <f t="shared" si="16"/>
        <v>0</v>
      </c>
      <c r="X25" s="202">
        <v>151760607.75999999</v>
      </c>
      <c r="Y25" s="233">
        <v>151760607.75999999</v>
      </c>
      <c r="Z25" s="202">
        <v>151760607.75999999</v>
      </c>
      <c r="AA25" s="234">
        <f t="shared" si="17"/>
        <v>0</v>
      </c>
      <c r="AB25" s="202"/>
      <c r="AC25" s="233"/>
      <c r="AD25" s="202"/>
      <c r="AE25" s="234">
        <f>AD25-AC25+W25</f>
        <v>0</v>
      </c>
      <c r="AF25" s="202"/>
      <c r="AG25" s="233"/>
      <c r="AH25" s="202"/>
      <c r="AI25" s="234">
        <f t="shared" si="25"/>
        <v>0</v>
      </c>
      <c r="AJ25" s="202"/>
      <c r="AK25" s="233"/>
      <c r="AL25" s="202"/>
      <c r="AM25" s="234">
        <f t="shared" si="19"/>
        <v>0</v>
      </c>
      <c r="AN25" s="202"/>
      <c r="AO25" s="233"/>
      <c r="AP25" s="202"/>
      <c r="AQ25" s="234">
        <f t="shared" si="20"/>
        <v>0</v>
      </c>
      <c r="AR25" s="202">
        <v>13728838.039999999</v>
      </c>
      <c r="AS25" s="233"/>
      <c r="AT25" s="202"/>
      <c r="AU25" s="234">
        <f t="shared" si="21"/>
        <v>0</v>
      </c>
      <c r="AV25" s="202"/>
      <c r="AW25" s="233"/>
      <c r="AX25" s="202"/>
      <c r="AY25" s="234">
        <f t="shared" si="22"/>
        <v>0</v>
      </c>
      <c r="AZ25" s="202"/>
      <c r="BA25" s="233"/>
      <c r="BB25" s="202"/>
      <c r="BC25" s="513">
        <f t="shared" si="24"/>
        <v>0</v>
      </c>
      <c r="BD25" s="202"/>
      <c r="BE25" s="202"/>
      <c r="BF25" s="235"/>
      <c r="BG25" s="236"/>
      <c r="BH25" s="234"/>
      <c r="BI25" s="514"/>
      <c r="BJ25" s="202"/>
      <c r="BK25" s="520"/>
      <c r="BL25" s="501">
        <f t="shared" si="23"/>
        <v>165489445.80000001</v>
      </c>
      <c r="BM25" s="158"/>
      <c r="BN25" s="1128"/>
      <c r="BO25" s="132"/>
      <c r="BQ25" s="230" t="str">
        <f>IF(BJ25&gt;0,BJ25,"")</f>
        <v/>
      </c>
    </row>
    <row r="26" spans="1:69" ht="19.5" x14ac:dyDescent="0.2">
      <c r="A26" s="1079"/>
      <c r="B26" s="232" t="s">
        <v>219</v>
      </c>
      <c r="C26" s="242" t="s">
        <v>73</v>
      </c>
      <c r="D26" s="232" t="s">
        <v>12</v>
      </c>
      <c r="E26" s="232" t="s">
        <v>231</v>
      </c>
      <c r="F26" s="430" t="s">
        <v>14</v>
      </c>
      <c r="G26" s="232"/>
      <c r="H26" s="202">
        <v>4138124.4</v>
      </c>
      <c r="I26" s="518">
        <f t="shared" si="13"/>
        <v>4138124.4</v>
      </c>
      <c r="J26" s="261">
        <f t="shared" si="14"/>
        <v>0</v>
      </c>
      <c r="K26" s="164">
        <f t="shared" si="15"/>
        <v>4138124.4</v>
      </c>
      <c r="L26" s="202"/>
      <c r="M26" s="233"/>
      <c r="N26" s="202"/>
      <c r="O26" s="234"/>
      <c r="P26" s="511"/>
      <c r="Q26" s="512"/>
      <c r="R26" s="202"/>
      <c r="S26" s="241"/>
      <c r="T26" s="202"/>
      <c r="U26" s="233"/>
      <c r="V26" s="202"/>
      <c r="W26" s="234">
        <f t="shared" si="16"/>
        <v>0</v>
      </c>
      <c r="X26" s="202">
        <v>4138124.4</v>
      </c>
      <c r="Y26" s="233">
        <v>4138124.4</v>
      </c>
      <c r="Z26" s="202">
        <v>4138124.4</v>
      </c>
      <c r="AA26" s="234">
        <f t="shared" si="17"/>
        <v>0</v>
      </c>
      <c r="AB26" s="202"/>
      <c r="AC26" s="233"/>
      <c r="AD26" s="202"/>
      <c r="AE26" s="234">
        <f t="shared" si="18"/>
        <v>0</v>
      </c>
      <c r="AF26" s="202"/>
      <c r="AG26" s="233"/>
      <c r="AH26" s="202"/>
      <c r="AI26" s="234">
        <f t="shared" si="25"/>
        <v>0</v>
      </c>
      <c r="AJ26" s="202"/>
      <c r="AK26" s="233"/>
      <c r="AL26" s="202"/>
      <c r="AM26" s="234">
        <f t="shared" si="19"/>
        <v>0</v>
      </c>
      <c r="AN26" s="202"/>
      <c r="AO26" s="233"/>
      <c r="AP26" s="202"/>
      <c r="AQ26" s="234">
        <f t="shared" si="20"/>
        <v>0</v>
      </c>
      <c r="AR26" s="202"/>
      <c r="AS26" s="233"/>
      <c r="AT26" s="202"/>
      <c r="AU26" s="234">
        <f t="shared" si="21"/>
        <v>0</v>
      </c>
      <c r="AV26" s="202"/>
      <c r="AW26" s="233"/>
      <c r="AX26" s="202"/>
      <c r="AY26" s="234">
        <f t="shared" si="22"/>
        <v>0</v>
      </c>
      <c r="AZ26" s="202"/>
      <c r="BA26" s="233"/>
      <c r="BB26" s="202"/>
      <c r="BC26" s="513">
        <f t="shared" si="24"/>
        <v>0</v>
      </c>
      <c r="BD26" s="202"/>
      <c r="BE26" s="202"/>
      <c r="BF26" s="235"/>
      <c r="BG26" s="236"/>
      <c r="BH26" s="234"/>
      <c r="BI26" s="514"/>
      <c r="BJ26" s="202"/>
      <c r="BK26" s="521"/>
      <c r="BL26" s="501">
        <f t="shared" si="23"/>
        <v>4138124.4</v>
      </c>
      <c r="BM26" s="158"/>
      <c r="BN26" s="164"/>
      <c r="BO26" s="132"/>
      <c r="BQ26" s="230"/>
    </row>
    <row r="27" spans="1:69" ht="31.5" customHeight="1" x14ac:dyDescent="0.2">
      <c r="A27" s="1077" t="s">
        <v>604</v>
      </c>
      <c r="B27" s="232" t="s">
        <v>219</v>
      </c>
      <c r="C27" s="242" t="s">
        <v>605</v>
      </c>
      <c r="D27" s="232" t="s">
        <v>12</v>
      </c>
      <c r="E27" s="232" t="s">
        <v>221</v>
      </c>
      <c r="F27" s="430" t="s">
        <v>14</v>
      </c>
      <c r="G27" s="232"/>
      <c r="H27" s="202">
        <f>199663700+979290.47</f>
        <v>200642990.47</v>
      </c>
      <c r="I27" s="518">
        <f>L27+P27+T27+X27+AB27+AF27+AJ27+AN27+AR27+AV27+AZ27+BD27</f>
        <v>200642990.47</v>
      </c>
      <c r="J27" s="261">
        <f t="shared" si="14"/>
        <v>0</v>
      </c>
      <c r="K27" s="164">
        <f>N27+R27+V27+Z27+AD27+AH27+AL27+AP27+AT27+AX27+BB27+BG27</f>
        <v>200642975.49000001</v>
      </c>
      <c r="L27" s="202"/>
      <c r="M27" s="233"/>
      <c r="N27" s="202"/>
      <c r="O27" s="234"/>
      <c r="P27" s="511"/>
      <c r="Q27" s="512"/>
      <c r="R27" s="202"/>
      <c r="S27" s="241"/>
      <c r="T27" s="202"/>
      <c r="U27" s="233"/>
      <c r="V27" s="202"/>
      <c r="W27" s="234"/>
      <c r="X27" s="202"/>
      <c r="Y27" s="233"/>
      <c r="Z27" s="202"/>
      <c r="AA27" s="234"/>
      <c r="AB27" s="202"/>
      <c r="AC27" s="233"/>
      <c r="AD27" s="202"/>
      <c r="AE27" s="234"/>
      <c r="AF27" s="202">
        <f>199663700+979275.49</f>
        <v>200642975.49000001</v>
      </c>
      <c r="AG27" s="233">
        <f>199663700+979275.49</f>
        <v>200642975.49000001</v>
      </c>
      <c r="AH27" s="202">
        <v>200642975.49000001</v>
      </c>
      <c r="AI27" s="234">
        <f t="shared" si="25"/>
        <v>0</v>
      </c>
      <c r="AJ27" s="202"/>
      <c r="AK27" s="233"/>
      <c r="AL27" s="202"/>
      <c r="AM27" s="234">
        <f t="shared" si="19"/>
        <v>0</v>
      </c>
      <c r="AN27" s="202"/>
      <c r="AO27" s="233"/>
      <c r="AP27" s="202"/>
      <c r="AQ27" s="234"/>
      <c r="AR27" s="202"/>
      <c r="AS27" s="233"/>
      <c r="AT27" s="202"/>
      <c r="AU27" s="234"/>
      <c r="AV27" s="202"/>
      <c r="AW27" s="233"/>
      <c r="AX27" s="202"/>
      <c r="AY27" s="234"/>
      <c r="AZ27" s="202"/>
      <c r="BA27" s="233"/>
      <c r="BB27" s="202"/>
      <c r="BC27" s="513"/>
      <c r="BD27" s="202">
        <v>14.98</v>
      </c>
      <c r="BE27" s="202"/>
      <c r="BF27" s="235"/>
      <c r="BG27" s="236"/>
      <c r="BH27" s="234"/>
      <c r="BI27" s="514"/>
      <c r="BJ27" s="132"/>
      <c r="BK27" s="521"/>
      <c r="BL27" s="501">
        <f t="shared" si="23"/>
        <v>200642990.47</v>
      </c>
      <c r="BM27" s="158"/>
      <c r="BN27" s="1089" t="s">
        <v>636</v>
      </c>
      <c r="BO27" s="132"/>
      <c r="BQ27" s="230"/>
    </row>
    <row r="28" spans="1:69" ht="27.75" customHeight="1" x14ac:dyDescent="0.2">
      <c r="A28" s="1079"/>
      <c r="B28" s="232" t="s">
        <v>219</v>
      </c>
      <c r="C28" s="242" t="s">
        <v>605</v>
      </c>
      <c r="D28" s="232" t="s">
        <v>12</v>
      </c>
      <c r="E28" s="232" t="s">
        <v>231</v>
      </c>
      <c r="F28" s="430" t="s">
        <v>14</v>
      </c>
      <c r="G28" s="232"/>
      <c r="H28" s="202">
        <f>112204300-979290.47</f>
        <v>111225009.53</v>
      </c>
      <c r="I28" s="518">
        <f>L28+P28+T28+X28+AB28+AF28+AJ28+AN28+AR28+AV28+AZ28+BD28</f>
        <v>111225009.53</v>
      </c>
      <c r="J28" s="261">
        <f t="shared" si="14"/>
        <v>0</v>
      </c>
      <c r="K28" s="164">
        <f>N28+R28+V28+Z28+AD28+AH28+AL28+AP28+AT28+AX28+BB28+BG28</f>
        <v>111225009.53</v>
      </c>
      <c r="L28" s="202"/>
      <c r="M28" s="233"/>
      <c r="N28" s="202"/>
      <c r="O28" s="234"/>
      <c r="P28" s="511"/>
      <c r="Q28" s="512"/>
      <c r="R28" s="202"/>
      <c r="S28" s="241"/>
      <c r="T28" s="202"/>
      <c r="U28" s="233"/>
      <c r="V28" s="202"/>
      <c r="W28" s="234"/>
      <c r="X28" s="202"/>
      <c r="Y28" s="233"/>
      <c r="Z28" s="202"/>
      <c r="AA28" s="234"/>
      <c r="AB28" s="202"/>
      <c r="AC28" s="233"/>
      <c r="AD28" s="202"/>
      <c r="AE28" s="234"/>
      <c r="AF28" s="202">
        <f>112204300-979290.47</f>
        <v>111225009.53</v>
      </c>
      <c r="AG28" s="233">
        <f>112204300-979290.47</f>
        <v>111225009.53</v>
      </c>
      <c r="AH28" s="202">
        <v>111225009.53</v>
      </c>
      <c r="AI28" s="234">
        <f t="shared" si="25"/>
        <v>0</v>
      </c>
      <c r="AJ28" s="202"/>
      <c r="AK28" s="233"/>
      <c r="AL28" s="202"/>
      <c r="AM28" s="234">
        <f t="shared" si="19"/>
        <v>0</v>
      </c>
      <c r="AN28" s="202"/>
      <c r="AO28" s="233"/>
      <c r="AP28" s="202"/>
      <c r="AQ28" s="234"/>
      <c r="AR28" s="202"/>
      <c r="AS28" s="233"/>
      <c r="AT28" s="202"/>
      <c r="AU28" s="234"/>
      <c r="AV28" s="202"/>
      <c r="AW28" s="233"/>
      <c r="AX28" s="202"/>
      <c r="AY28" s="234"/>
      <c r="AZ28" s="202"/>
      <c r="BA28" s="233"/>
      <c r="BB28" s="202"/>
      <c r="BC28" s="513"/>
      <c r="BD28" s="202"/>
      <c r="BE28" s="202"/>
      <c r="BF28" s="235"/>
      <c r="BG28" s="236"/>
      <c r="BH28" s="234"/>
      <c r="BI28" s="514"/>
      <c r="BJ28" s="132"/>
      <c r="BK28" s="521"/>
      <c r="BL28" s="501">
        <f t="shared" si="23"/>
        <v>111225009.53</v>
      </c>
      <c r="BM28" s="158"/>
      <c r="BN28" s="1089"/>
      <c r="BO28" s="132"/>
      <c r="BQ28" s="230"/>
    </row>
    <row r="29" spans="1:69" ht="24" customHeight="1" x14ac:dyDescent="0.2">
      <c r="A29" s="1059" t="s">
        <v>74</v>
      </c>
      <c r="B29" s="232" t="s">
        <v>219</v>
      </c>
      <c r="C29" s="232" t="s">
        <v>75</v>
      </c>
      <c r="D29" s="232" t="s">
        <v>12</v>
      </c>
      <c r="E29" s="232" t="s">
        <v>221</v>
      </c>
      <c r="F29" s="430" t="s">
        <v>14</v>
      </c>
      <c r="G29" s="232"/>
      <c r="H29" s="202">
        <f>69390000-53363200.81</f>
        <v>16026799.189999998</v>
      </c>
      <c r="I29" s="518">
        <f>L29+P29+T29+X29+AB29+AF29+AJ29+AN29+AR29+AV29+AZ29+BD29</f>
        <v>16026799.189999998</v>
      </c>
      <c r="J29" s="261">
        <f t="shared" si="14"/>
        <v>0</v>
      </c>
      <c r="K29" s="164">
        <f t="shared" si="15"/>
        <v>16026799.189999999</v>
      </c>
      <c r="L29" s="202"/>
      <c r="M29" s="233"/>
      <c r="N29" s="202"/>
      <c r="O29" s="234"/>
      <c r="P29" s="202"/>
      <c r="Q29" s="512"/>
      <c r="R29" s="202"/>
      <c r="S29" s="241"/>
      <c r="T29" s="202"/>
      <c r="U29" s="233"/>
      <c r="V29" s="202"/>
      <c r="W29" s="234">
        <f t="shared" si="16"/>
        <v>0</v>
      </c>
      <c r="X29" s="202"/>
      <c r="Y29" s="233"/>
      <c r="Z29" s="202"/>
      <c r="AA29" s="234">
        <f t="shared" si="17"/>
        <v>0</v>
      </c>
      <c r="AB29" s="202">
        <f>69390000-53363200.81</f>
        <v>16026799.189999998</v>
      </c>
      <c r="AC29" s="233">
        <f>69390000-53363200.81</f>
        <v>16026799.189999998</v>
      </c>
      <c r="AD29" s="202">
        <v>16026799.189999999</v>
      </c>
      <c r="AE29" s="234">
        <f t="shared" si="18"/>
        <v>0</v>
      </c>
      <c r="AF29" s="202"/>
      <c r="AG29" s="233"/>
      <c r="AH29" s="202"/>
      <c r="AI29" s="234">
        <f t="shared" si="25"/>
        <v>0</v>
      </c>
      <c r="AJ29" s="202"/>
      <c r="AK29" s="233"/>
      <c r="AL29" s="202"/>
      <c r="AM29" s="234">
        <f t="shared" si="19"/>
        <v>0</v>
      </c>
      <c r="AN29" s="202"/>
      <c r="AO29" s="233"/>
      <c r="AP29" s="202"/>
      <c r="AQ29" s="234">
        <f t="shared" si="20"/>
        <v>0</v>
      </c>
      <c r="AR29" s="202"/>
      <c r="AS29" s="233"/>
      <c r="AT29" s="202"/>
      <c r="AU29" s="234">
        <f t="shared" si="21"/>
        <v>0</v>
      </c>
      <c r="AV29" s="202"/>
      <c r="AW29" s="233"/>
      <c r="AX29" s="202"/>
      <c r="AY29" s="234">
        <f t="shared" si="22"/>
        <v>0</v>
      </c>
      <c r="AZ29" s="202"/>
      <c r="BA29" s="233"/>
      <c r="BB29" s="202"/>
      <c r="BC29" s="513">
        <f t="shared" si="24"/>
        <v>0</v>
      </c>
      <c r="BD29" s="202"/>
      <c r="BE29" s="202"/>
      <c r="BF29" s="233"/>
      <c r="BG29" s="236"/>
      <c r="BH29" s="234"/>
      <c r="BI29" s="514"/>
      <c r="BJ29" s="202"/>
      <c r="BK29" s="515"/>
      <c r="BL29" s="501">
        <f t="shared" si="23"/>
        <v>16026799.189999998</v>
      </c>
      <c r="BM29" s="158"/>
      <c r="BN29" s="1089" t="s">
        <v>641</v>
      </c>
      <c r="BO29" s="132"/>
      <c r="BQ29" s="230" t="str">
        <f>IF(BJ29&gt;0,BJ29,"")</f>
        <v/>
      </c>
    </row>
    <row r="30" spans="1:69" ht="24" customHeight="1" x14ac:dyDescent="0.2">
      <c r="A30" s="1091"/>
      <c r="B30" s="232"/>
      <c r="C30" s="232" t="s">
        <v>75</v>
      </c>
      <c r="D30" s="232" t="s">
        <v>222</v>
      </c>
      <c r="E30" s="232" t="s">
        <v>221</v>
      </c>
      <c r="F30" s="430" t="s">
        <v>14</v>
      </c>
      <c r="G30" s="232"/>
      <c r="H30" s="202">
        <v>46275700.810000002</v>
      </c>
      <c r="I30" s="518">
        <f>L30+P30+T30+X30+AB30+AF30+AJ30+AN30+AR30+AV30+AZ30+BD30</f>
        <v>46275700.810000002</v>
      </c>
      <c r="J30" s="261">
        <f t="shared" si="14"/>
        <v>0</v>
      </c>
      <c r="K30" s="164">
        <f>N30+R30+V30+Z30+AD30+AH30+AL30+AP30+AT30+AX30+BB30+BG30</f>
        <v>37175502</v>
      </c>
      <c r="L30" s="202"/>
      <c r="M30" s="233"/>
      <c r="N30" s="202"/>
      <c r="O30" s="234"/>
      <c r="P30" s="202"/>
      <c r="Q30" s="512"/>
      <c r="R30" s="202"/>
      <c r="S30" s="241"/>
      <c r="T30" s="202"/>
      <c r="U30" s="233"/>
      <c r="V30" s="202"/>
      <c r="W30" s="234"/>
      <c r="X30" s="202"/>
      <c r="Y30" s="233"/>
      <c r="Z30" s="202"/>
      <c r="AA30" s="234"/>
      <c r="AB30" s="202">
        <v>37175502</v>
      </c>
      <c r="AC30" s="233">
        <v>37175502</v>
      </c>
      <c r="AD30" s="202">
        <v>37175502</v>
      </c>
      <c r="AE30" s="234">
        <f t="shared" si="18"/>
        <v>0</v>
      </c>
      <c r="AF30" s="202"/>
      <c r="AG30" s="233"/>
      <c r="AH30" s="202"/>
      <c r="AI30" s="234">
        <f t="shared" si="25"/>
        <v>0</v>
      </c>
      <c r="AJ30" s="202"/>
      <c r="AK30" s="233"/>
      <c r="AL30" s="202"/>
      <c r="AM30" s="234">
        <f t="shared" si="19"/>
        <v>0</v>
      </c>
      <c r="AN30" s="202"/>
      <c r="AO30" s="233"/>
      <c r="AP30" s="202"/>
      <c r="AQ30" s="234"/>
      <c r="AR30" s="202"/>
      <c r="AS30" s="233"/>
      <c r="AT30" s="202"/>
      <c r="AU30" s="234"/>
      <c r="AV30" s="202"/>
      <c r="AW30" s="233"/>
      <c r="AX30" s="202"/>
      <c r="AY30" s="234"/>
      <c r="AZ30" s="202"/>
      <c r="BA30" s="233"/>
      <c r="BB30" s="202"/>
      <c r="BC30" s="513"/>
      <c r="BD30" s="202">
        <v>9100198.8100000005</v>
      </c>
      <c r="BE30" s="202"/>
      <c r="BF30" s="233"/>
      <c r="BG30" s="236"/>
      <c r="BH30" s="234"/>
      <c r="BI30" s="514"/>
      <c r="BJ30" s="202"/>
      <c r="BK30" s="515"/>
      <c r="BL30" s="501"/>
      <c r="BM30" s="158"/>
      <c r="BN30" s="1089"/>
      <c r="BO30" s="132"/>
      <c r="BQ30" s="230"/>
    </row>
    <row r="31" spans="1:69" ht="20.25" customHeight="1" x14ac:dyDescent="0.2">
      <c r="A31" s="1060"/>
      <c r="B31" s="232" t="s">
        <v>219</v>
      </c>
      <c r="C31" s="232" t="s">
        <v>75</v>
      </c>
      <c r="D31" s="232" t="s">
        <v>222</v>
      </c>
      <c r="E31" s="232" t="s">
        <v>231</v>
      </c>
      <c r="F31" s="430" t="s">
        <v>14</v>
      </c>
      <c r="G31" s="232"/>
      <c r="H31" s="202">
        <v>7087500</v>
      </c>
      <c r="I31" s="518">
        <f t="shared" si="13"/>
        <v>7087500</v>
      </c>
      <c r="J31" s="164">
        <f t="shared" si="14"/>
        <v>0</v>
      </c>
      <c r="K31" s="164">
        <f t="shared" si="15"/>
        <v>7087500</v>
      </c>
      <c r="L31" s="202"/>
      <c r="M31" s="233"/>
      <c r="N31" s="202"/>
      <c r="O31" s="234"/>
      <c r="P31" s="202"/>
      <c r="Q31" s="512"/>
      <c r="R31" s="202"/>
      <c r="S31" s="241"/>
      <c r="T31" s="202"/>
      <c r="U31" s="233"/>
      <c r="V31" s="202"/>
      <c r="W31" s="234">
        <f t="shared" si="16"/>
        <v>0</v>
      </c>
      <c r="X31" s="202"/>
      <c r="Y31" s="233"/>
      <c r="Z31" s="202"/>
      <c r="AA31" s="234">
        <f t="shared" si="17"/>
        <v>0</v>
      </c>
      <c r="AB31" s="202">
        <v>7087500</v>
      </c>
      <c r="AC31" s="233">
        <v>7087500</v>
      </c>
      <c r="AD31" s="202">
        <v>7087500</v>
      </c>
      <c r="AE31" s="234">
        <f t="shared" si="18"/>
        <v>0</v>
      </c>
      <c r="AF31" s="202"/>
      <c r="AG31" s="233"/>
      <c r="AH31" s="202"/>
      <c r="AI31" s="234">
        <f t="shared" si="25"/>
        <v>0</v>
      </c>
      <c r="AJ31" s="202"/>
      <c r="AK31" s="233"/>
      <c r="AL31" s="202"/>
      <c r="AM31" s="234">
        <f t="shared" si="19"/>
        <v>0</v>
      </c>
      <c r="AN31" s="202"/>
      <c r="AO31" s="233"/>
      <c r="AP31" s="202"/>
      <c r="AQ31" s="234">
        <f t="shared" si="20"/>
        <v>0</v>
      </c>
      <c r="AR31" s="202"/>
      <c r="AS31" s="233"/>
      <c r="AT31" s="202"/>
      <c r="AU31" s="234">
        <f t="shared" si="21"/>
        <v>0</v>
      </c>
      <c r="AV31" s="202"/>
      <c r="AW31" s="233"/>
      <c r="AX31" s="202"/>
      <c r="AY31" s="234">
        <f t="shared" si="22"/>
        <v>0</v>
      </c>
      <c r="AZ31" s="202"/>
      <c r="BA31" s="233"/>
      <c r="BB31" s="202"/>
      <c r="BC31" s="513">
        <f t="shared" si="24"/>
        <v>0</v>
      </c>
      <c r="BD31" s="202"/>
      <c r="BE31" s="202"/>
      <c r="BF31" s="233"/>
      <c r="BG31" s="236"/>
      <c r="BH31" s="234"/>
      <c r="BI31" s="514"/>
      <c r="BJ31" s="202"/>
      <c r="BK31" s="515"/>
      <c r="BL31" s="501">
        <f t="shared" si="23"/>
        <v>7087500</v>
      </c>
      <c r="BM31" s="158"/>
      <c r="BN31" s="1089"/>
      <c r="BO31" s="132"/>
      <c r="BQ31" s="230"/>
    </row>
    <row r="32" spans="1:69" ht="19.5" customHeight="1" x14ac:dyDescent="0.2">
      <c r="A32" s="1077" t="s">
        <v>224</v>
      </c>
      <c r="B32" s="232" t="s">
        <v>219</v>
      </c>
      <c r="C32" s="242" t="s">
        <v>77</v>
      </c>
      <c r="D32" s="232" t="s">
        <v>12</v>
      </c>
      <c r="E32" s="232" t="s">
        <v>225</v>
      </c>
      <c r="F32" s="430" t="s">
        <v>14</v>
      </c>
      <c r="G32" s="232"/>
      <c r="H32" s="202">
        <f>2500000+1230000</f>
        <v>3730000</v>
      </c>
      <c r="I32" s="518">
        <f t="shared" si="13"/>
        <v>3730000</v>
      </c>
      <c r="J32" s="164">
        <f t="shared" si="14"/>
        <v>0</v>
      </c>
      <c r="K32" s="164">
        <f t="shared" si="15"/>
        <v>0</v>
      </c>
      <c r="L32" s="202"/>
      <c r="M32" s="233"/>
      <c r="N32" s="202"/>
      <c r="O32" s="234"/>
      <c r="P32" s="202"/>
      <c r="Q32" s="512"/>
      <c r="R32" s="202"/>
      <c r="S32" s="241"/>
      <c r="T32" s="202"/>
      <c r="U32" s="233"/>
      <c r="V32" s="202"/>
      <c r="W32" s="234">
        <f t="shared" si="16"/>
        <v>0</v>
      </c>
      <c r="X32" s="202"/>
      <c r="Y32" s="233"/>
      <c r="Z32" s="202"/>
      <c r="AA32" s="234">
        <f t="shared" si="17"/>
        <v>0</v>
      </c>
      <c r="AB32" s="202"/>
      <c r="AC32" s="233"/>
      <c r="AD32" s="522"/>
      <c r="AE32" s="234">
        <f t="shared" si="18"/>
        <v>0</v>
      </c>
      <c r="AF32" s="202"/>
      <c r="AG32" s="233"/>
      <c r="AH32" s="202"/>
      <c r="AI32" s="234">
        <f t="shared" si="25"/>
        <v>0</v>
      </c>
      <c r="AJ32" s="202"/>
      <c r="AK32" s="233"/>
      <c r="AL32" s="202"/>
      <c r="AM32" s="234">
        <f t="shared" si="19"/>
        <v>0</v>
      </c>
      <c r="AN32" s="202">
        <v>3730000</v>
      </c>
      <c r="AO32" s="233"/>
      <c r="AP32" s="202"/>
      <c r="AQ32" s="234">
        <f t="shared" si="20"/>
        <v>0</v>
      </c>
      <c r="AR32" s="202"/>
      <c r="AS32" s="233"/>
      <c r="AT32" s="202"/>
      <c r="AU32" s="234">
        <f t="shared" si="21"/>
        <v>0</v>
      </c>
      <c r="AV32" s="202"/>
      <c r="AW32" s="233"/>
      <c r="AX32" s="202"/>
      <c r="AY32" s="234">
        <f t="shared" si="22"/>
        <v>0</v>
      </c>
      <c r="AZ32" s="202"/>
      <c r="BA32" s="233"/>
      <c r="BB32" s="202"/>
      <c r="BC32" s="513">
        <f t="shared" si="24"/>
        <v>0</v>
      </c>
      <c r="BD32" s="202"/>
      <c r="BE32" s="202"/>
      <c r="BF32" s="233"/>
      <c r="BG32" s="236"/>
      <c r="BH32" s="234"/>
      <c r="BI32" s="514"/>
      <c r="BJ32" s="202"/>
      <c r="BK32" s="515"/>
      <c r="BL32" s="501">
        <f t="shared" si="23"/>
        <v>3730000</v>
      </c>
      <c r="BM32" s="158"/>
      <c r="BN32" s="164"/>
      <c r="BO32" s="132"/>
      <c r="BQ32" s="230" t="str">
        <f>IF(BJ32&gt;0,BJ32,"")</f>
        <v/>
      </c>
    </row>
    <row r="33" spans="1:69" ht="19.5" x14ac:dyDescent="0.2">
      <c r="A33" s="1078"/>
      <c r="B33" s="232" t="s">
        <v>219</v>
      </c>
      <c r="C33" s="242" t="s">
        <v>77</v>
      </c>
      <c r="D33" s="232" t="s">
        <v>12</v>
      </c>
      <c r="E33" s="232" t="s">
        <v>223</v>
      </c>
      <c r="F33" s="430" t="s">
        <v>14</v>
      </c>
      <c r="G33" s="232"/>
      <c r="H33" s="202">
        <f>487762000+30+240920140</f>
        <v>728682170</v>
      </c>
      <c r="I33" s="518">
        <f t="shared" si="13"/>
        <v>728682170</v>
      </c>
      <c r="J33" s="164">
        <f t="shared" si="14"/>
        <v>0</v>
      </c>
      <c r="K33" s="164">
        <f t="shared" si="15"/>
        <v>0</v>
      </c>
      <c r="L33" s="202"/>
      <c r="M33" s="233"/>
      <c r="N33" s="202"/>
      <c r="O33" s="234"/>
      <c r="P33" s="511"/>
      <c r="Q33" s="512"/>
      <c r="R33" s="202"/>
      <c r="S33" s="241"/>
      <c r="T33" s="202"/>
      <c r="U33" s="233"/>
      <c r="V33" s="202"/>
      <c r="W33" s="234">
        <f t="shared" si="16"/>
        <v>0</v>
      </c>
      <c r="X33" s="202"/>
      <c r="Y33" s="233"/>
      <c r="Z33" s="202"/>
      <c r="AA33" s="234">
        <f t="shared" si="17"/>
        <v>0</v>
      </c>
      <c r="AB33" s="202"/>
      <c r="AC33" s="233"/>
      <c r="AD33" s="202"/>
      <c r="AE33" s="234">
        <f t="shared" si="18"/>
        <v>0</v>
      </c>
      <c r="AF33" s="202"/>
      <c r="AG33" s="233"/>
      <c r="AH33" s="202"/>
      <c r="AI33" s="234">
        <f t="shared" si="25"/>
        <v>0</v>
      </c>
      <c r="AJ33" s="202"/>
      <c r="AK33" s="233"/>
      <c r="AL33" s="202"/>
      <c r="AM33" s="234">
        <f t="shared" si="19"/>
        <v>0</v>
      </c>
      <c r="AN33" s="202">
        <v>728682170</v>
      </c>
      <c r="AO33" s="233"/>
      <c r="AP33" s="202"/>
      <c r="AQ33" s="234">
        <f t="shared" si="20"/>
        <v>0</v>
      </c>
      <c r="AR33" s="202"/>
      <c r="AS33" s="233"/>
      <c r="AT33" s="202"/>
      <c r="AU33" s="234">
        <f t="shared" si="21"/>
        <v>0</v>
      </c>
      <c r="AV33" s="202"/>
      <c r="AW33" s="233"/>
      <c r="AX33" s="202"/>
      <c r="AY33" s="234">
        <f t="shared" si="22"/>
        <v>0</v>
      </c>
      <c r="AZ33" s="202"/>
      <c r="BA33" s="233"/>
      <c r="BB33" s="202"/>
      <c r="BC33" s="513">
        <f t="shared" si="24"/>
        <v>0</v>
      </c>
      <c r="BD33" s="202"/>
      <c r="BE33" s="202"/>
      <c r="BF33" s="233"/>
      <c r="BG33" s="238"/>
      <c r="BH33" s="523">
        <f>BG33-BF33</f>
        <v>0</v>
      </c>
      <c r="BI33" s="514"/>
      <c r="BJ33" s="524"/>
      <c r="BK33" s="525"/>
      <c r="BL33" s="501">
        <f t="shared" si="23"/>
        <v>728682170</v>
      </c>
      <c r="BM33" s="158"/>
      <c r="BN33" s="164"/>
      <c r="BO33" s="132"/>
      <c r="BQ33" s="230" t="str">
        <f>IF(BJ33&gt;0,BJ33,"")</f>
        <v/>
      </c>
    </row>
    <row r="34" spans="1:69" ht="19.5" x14ac:dyDescent="0.2">
      <c r="A34" s="1079"/>
      <c r="B34" s="232" t="s">
        <v>219</v>
      </c>
      <c r="C34" s="242" t="s">
        <v>77</v>
      </c>
      <c r="D34" s="232" t="s">
        <v>12</v>
      </c>
      <c r="E34" s="232" t="s">
        <v>326</v>
      </c>
      <c r="F34" s="430" t="s">
        <v>14</v>
      </c>
      <c r="G34" s="232"/>
      <c r="H34" s="202">
        <f>65000000+32104800</f>
        <v>97104800</v>
      </c>
      <c r="I34" s="518">
        <f t="shared" si="13"/>
        <v>97104800</v>
      </c>
      <c r="J34" s="164">
        <f t="shared" si="14"/>
        <v>0</v>
      </c>
      <c r="K34" s="164">
        <f t="shared" si="15"/>
        <v>0</v>
      </c>
      <c r="L34" s="202"/>
      <c r="M34" s="233"/>
      <c r="N34" s="202"/>
      <c r="O34" s="234"/>
      <c r="P34" s="511"/>
      <c r="Q34" s="512"/>
      <c r="R34" s="202"/>
      <c r="S34" s="241"/>
      <c r="T34" s="202"/>
      <c r="U34" s="233"/>
      <c r="V34" s="202"/>
      <c r="W34" s="234">
        <f t="shared" si="16"/>
        <v>0</v>
      </c>
      <c r="X34" s="202"/>
      <c r="Y34" s="233"/>
      <c r="Z34" s="202"/>
      <c r="AA34" s="234">
        <f t="shared" si="17"/>
        <v>0</v>
      </c>
      <c r="AB34" s="202"/>
      <c r="AC34" s="233"/>
      <c r="AD34" s="202"/>
      <c r="AE34" s="234">
        <f t="shared" si="18"/>
        <v>0</v>
      </c>
      <c r="AF34" s="202"/>
      <c r="AG34" s="233"/>
      <c r="AH34" s="202"/>
      <c r="AI34" s="234">
        <f t="shared" si="25"/>
        <v>0</v>
      </c>
      <c r="AJ34" s="202"/>
      <c r="AK34" s="233"/>
      <c r="AL34" s="202"/>
      <c r="AM34" s="234">
        <f t="shared" si="19"/>
        <v>0</v>
      </c>
      <c r="AN34" s="202">
        <v>97104800</v>
      </c>
      <c r="AO34" s="233"/>
      <c r="AP34" s="202"/>
      <c r="AQ34" s="234">
        <f t="shared" si="20"/>
        <v>0</v>
      </c>
      <c r="AR34" s="202"/>
      <c r="AS34" s="233"/>
      <c r="AT34" s="202"/>
      <c r="AU34" s="234">
        <f t="shared" si="21"/>
        <v>0</v>
      </c>
      <c r="AV34" s="202"/>
      <c r="AW34" s="233"/>
      <c r="AX34" s="202"/>
      <c r="AY34" s="234">
        <f t="shared" si="22"/>
        <v>0</v>
      </c>
      <c r="AZ34" s="202"/>
      <c r="BA34" s="233"/>
      <c r="BB34" s="202"/>
      <c r="BC34" s="513">
        <f t="shared" si="24"/>
        <v>0</v>
      </c>
      <c r="BD34" s="202"/>
      <c r="BE34" s="202"/>
      <c r="BF34" s="233"/>
      <c r="BG34" s="238"/>
      <c r="BH34" s="523">
        <f t="shared" ref="BH34:BH52" si="26">BG34-BF34</f>
        <v>0</v>
      </c>
      <c r="BI34" s="514"/>
      <c r="BJ34" s="524"/>
      <c r="BK34" s="525"/>
      <c r="BL34" s="501">
        <f t="shared" si="23"/>
        <v>97104800</v>
      </c>
      <c r="BM34" s="158"/>
      <c r="BN34" s="164"/>
      <c r="BO34" s="132"/>
      <c r="BQ34" s="230"/>
    </row>
    <row r="35" spans="1:69" ht="63" x14ac:dyDescent="0.2">
      <c r="A35" s="622" t="s">
        <v>415</v>
      </c>
      <c r="B35" s="232" t="s">
        <v>219</v>
      </c>
      <c r="C35" s="530" t="s">
        <v>416</v>
      </c>
      <c r="D35" s="232" t="s">
        <v>328</v>
      </c>
      <c r="E35" s="232" t="s">
        <v>231</v>
      </c>
      <c r="F35" s="430" t="s">
        <v>14</v>
      </c>
      <c r="G35" s="232"/>
      <c r="H35" s="202">
        <v>21780000</v>
      </c>
      <c r="I35" s="518">
        <f>L35+P35+T35+X35+AB35+AF35+AJ35+AN35+AR35+AV35+AZ35+BD35</f>
        <v>21780000</v>
      </c>
      <c r="J35" s="164">
        <f t="shared" si="14"/>
        <v>0</v>
      </c>
      <c r="K35" s="164">
        <f t="shared" si="15"/>
        <v>0</v>
      </c>
      <c r="L35" s="202"/>
      <c r="M35" s="233"/>
      <c r="N35" s="202"/>
      <c r="O35" s="234"/>
      <c r="P35" s="511"/>
      <c r="Q35" s="512"/>
      <c r="R35" s="202"/>
      <c r="S35" s="241"/>
      <c r="T35" s="202"/>
      <c r="U35" s="233"/>
      <c r="V35" s="202"/>
      <c r="W35" s="234"/>
      <c r="X35" s="202"/>
      <c r="Y35" s="233"/>
      <c r="Z35" s="202"/>
      <c r="AA35" s="234"/>
      <c r="AB35" s="202"/>
      <c r="AC35" s="233"/>
      <c r="AD35" s="202"/>
      <c r="AE35" s="234"/>
      <c r="AF35" s="202"/>
      <c r="AG35" s="233"/>
      <c r="AH35" s="202"/>
      <c r="AI35" s="234"/>
      <c r="AJ35" s="202"/>
      <c r="AK35" s="233"/>
      <c r="AL35" s="202"/>
      <c r="AM35" s="234"/>
      <c r="AN35" s="202">
        <v>11780000</v>
      </c>
      <c r="AO35" s="233"/>
      <c r="AP35" s="202"/>
      <c r="AQ35" s="234"/>
      <c r="AR35" s="202"/>
      <c r="AS35" s="233"/>
      <c r="AT35" s="202"/>
      <c r="AU35" s="234"/>
      <c r="AV35" s="202"/>
      <c r="AW35" s="233"/>
      <c r="AX35" s="202"/>
      <c r="AY35" s="234"/>
      <c r="AZ35" s="202">
        <v>10000000</v>
      </c>
      <c r="BA35" s="233"/>
      <c r="BB35" s="202"/>
      <c r="BC35" s="513"/>
      <c r="BD35" s="202"/>
      <c r="BE35" s="202"/>
      <c r="BF35" s="233"/>
      <c r="BG35" s="238"/>
      <c r="BH35" s="523"/>
      <c r="BI35" s="514" t="s">
        <v>385</v>
      </c>
      <c r="BJ35" s="524"/>
      <c r="BK35" s="525"/>
      <c r="BL35" s="501">
        <f t="shared" si="23"/>
        <v>21780000</v>
      </c>
      <c r="BM35" s="158"/>
      <c r="BN35" s="164"/>
      <c r="BO35" s="132"/>
      <c r="BQ35" s="230"/>
    </row>
    <row r="36" spans="1:69" ht="39" customHeight="1" x14ac:dyDescent="0.2">
      <c r="A36" s="1082" t="s">
        <v>78</v>
      </c>
      <c r="B36" s="232" t="s">
        <v>219</v>
      </c>
      <c r="C36" s="242" t="s">
        <v>79</v>
      </c>
      <c r="D36" s="232" t="s">
        <v>12</v>
      </c>
      <c r="E36" s="232" t="s">
        <v>223</v>
      </c>
      <c r="F36" s="430" t="s">
        <v>14</v>
      </c>
      <c r="G36" s="232"/>
      <c r="H36" s="202">
        <v>47829400</v>
      </c>
      <c r="I36" s="518">
        <f t="shared" si="13"/>
        <v>47829400</v>
      </c>
      <c r="J36" s="164">
        <f t="shared" si="14"/>
        <v>0</v>
      </c>
      <c r="K36" s="164">
        <f t="shared" si="15"/>
        <v>22789100</v>
      </c>
      <c r="L36" s="202"/>
      <c r="M36" s="233"/>
      <c r="N36" s="202"/>
      <c r="O36" s="234"/>
      <c r="P36" s="202"/>
      <c r="Q36" s="512"/>
      <c r="R36" s="202"/>
      <c r="S36" s="241"/>
      <c r="T36" s="202"/>
      <c r="U36" s="233"/>
      <c r="V36" s="202"/>
      <c r="W36" s="234">
        <f t="shared" si="16"/>
        <v>0</v>
      </c>
      <c r="X36" s="202">
        <f>22354000+435100</f>
        <v>22789100</v>
      </c>
      <c r="Y36" s="233">
        <f>22354000+435100</f>
        <v>22789100</v>
      </c>
      <c r="Z36" s="202">
        <v>22789100</v>
      </c>
      <c r="AA36" s="234">
        <f t="shared" si="17"/>
        <v>0</v>
      </c>
      <c r="AB36" s="202"/>
      <c r="AC36" s="233"/>
      <c r="AD36" s="202"/>
      <c r="AE36" s="234">
        <f t="shared" si="18"/>
        <v>0</v>
      </c>
      <c r="AF36" s="202"/>
      <c r="AG36" s="233"/>
      <c r="AH36" s="202"/>
      <c r="AI36" s="234">
        <f t="shared" si="25"/>
        <v>0</v>
      </c>
      <c r="AJ36" s="202"/>
      <c r="AK36" s="233"/>
      <c r="AL36" s="202"/>
      <c r="AM36" s="234">
        <f t="shared" si="19"/>
        <v>0</v>
      </c>
      <c r="AN36" s="975"/>
      <c r="AO36" s="233"/>
      <c r="AP36" s="202"/>
      <c r="AQ36" s="234">
        <f t="shared" si="20"/>
        <v>0</v>
      </c>
      <c r="AR36" s="202"/>
      <c r="AS36" s="233"/>
      <c r="AT36" s="202"/>
      <c r="AU36" s="234">
        <f t="shared" si="21"/>
        <v>0</v>
      </c>
      <c r="AV36" s="202"/>
      <c r="AW36" s="233"/>
      <c r="AX36" s="202"/>
      <c r="AY36" s="234">
        <f t="shared" si="22"/>
        <v>0</v>
      </c>
      <c r="AZ36" s="202">
        <v>25040300</v>
      </c>
      <c r="BA36" s="233"/>
      <c r="BB36" s="202"/>
      <c r="BC36" s="513">
        <f t="shared" si="24"/>
        <v>0</v>
      </c>
      <c r="BD36" s="202"/>
      <c r="BE36" s="202"/>
      <c r="BF36" s="233"/>
      <c r="BG36" s="236"/>
      <c r="BH36" s="523">
        <f t="shared" si="26"/>
        <v>0</v>
      </c>
      <c r="BI36" s="526"/>
      <c r="BJ36" s="202"/>
      <c r="BK36" s="202"/>
      <c r="BL36" s="501">
        <f t="shared" si="23"/>
        <v>47829400</v>
      </c>
      <c r="BM36" s="158"/>
      <c r="BN36" s="1080" t="s">
        <v>528</v>
      </c>
      <c r="BO36" s="132"/>
      <c r="BQ36" s="230" t="str">
        <f>IF(BJ36&gt;0,BJ36,"")</f>
        <v/>
      </c>
    </row>
    <row r="37" spans="1:69" ht="39" customHeight="1" x14ac:dyDescent="0.2">
      <c r="A37" s="1084"/>
      <c r="B37" s="232" t="s">
        <v>219</v>
      </c>
      <c r="C37" s="242" t="s">
        <v>79</v>
      </c>
      <c r="D37" s="232" t="s">
        <v>12</v>
      </c>
      <c r="E37" s="232" t="s">
        <v>327</v>
      </c>
      <c r="F37" s="430" t="s">
        <v>14</v>
      </c>
      <c r="G37" s="232"/>
      <c r="H37" s="202">
        <v>15600000</v>
      </c>
      <c r="I37" s="518">
        <f t="shared" si="13"/>
        <v>15600000</v>
      </c>
      <c r="J37" s="164">
        <f t="shared" si="14"/>
        <v>0</v>
      </c>
      <c r="K37" s="164">
        <f t="shared" si="15"/>
        <v>1634070</v>
      </c>
      <c r="L37" s="202"/>
      <c r="M37" s="233"/>
      <c r="N37" s="202"/>
      <c r="O37" s="234"/>
      <c r="P37" s="202"/>
      <c r="Q37" s="512"/>
      <c r="R37" s="202"/>
      <c r="S37" s="241"/>
      <c r="T37" s="202"/>
      <c r="U37" s="233"/>
      <c r="V37" s="202"/>
      <c r="W37" s="234">
        <f t="shared" si="16"/>
        <v>0</v>
      </c>
      <c r="X37" s="202">
        <f>1526000+108070</f>
        <v>1634070</v>
      </c>
      <c r="Y37" s="233">
        <f>1526000+108070</f>
        <v>1634070</v>
      </c>
      <c r="Z37" s="202">
        <v>1634070</v>
      </c>
      <c r="AA37" s="234">
        <f t="shared" si="17"/>
        <v>0</v>
      </c>
      <c r="AB37" s="202"/>
      <c r="AC37" s="233"/>
      <c r="AD37" s="202"/>
      <c r="AE37" s="234">
        <f t="shared" si="18"/>
        <v>0</v>
      </c>
      <c r="AF37" s="202"/>
      <c r="AG37" s="233"/>
      <c r="AH37" s="202"/>
      <c r="AI37" s="234">
        <f t="shared" si="25"/>
        <v>0</v>
      </c>
      <c r="AJ37" s="202"/>
      <c r="AK37" s="233"/>
      <c r="AL37" s="202"/>
      <c r="AM37" s="234">
        <f t="shared" si="19"/>
        <v>0</v>
      </c>
      <c r="AN37" s="975"/>
      <c r="AO37" s="233"/>
      <c r="AP37" s="202"/>
      <c r="AQ37" s="234">
        <f t="shared" si="20"/>
        <v>0</v>
      </c>
      <c r="AR37" s="202"/>
      <c r="AS37" s="233"/>
      <c r="AT37" s="202"/>
      <c r="AU37" s="234">
        <f t="shared" si="21"/>
        <v>0</v>
      </c>
      <c r="AV37" s="202"/>
      <c r="AW37" s="233"/>
      <c r="AX37" s="202"/>
      <c r="AY37" s="234">
        <f t="shared" si="22"/>
        <v>0</v>
      </c>
      <c r="AZ37" s="202">
        <v>13965930</v>
      </c>
      <c r="BA37" s="233"/>
      <c r="BB37" s="202"/>
      <c r="BC37" s="513">
        <f t="shared" si="24"/>
        <v>0</v>
      </c>
      <c r="BD37" s="202"/>
      <c r="BE37" s="202"/>
      <c r="BF37" s="233"/>
      <c r="BG37" s="236"/>
      <c r="BH37" s="523">
        <f t="shared" si="26"/>
        <v>0</v>
      </c>
      <c r="BI37" s="526"/>
      <c r="BJ37" s="202"/>
      <c r="BK37" s="202"/>
      <c r="BL37" s="501">
        <f t="shared" si="23"/>
        <v>15600000</v>
      </c>
      <c r="BM37" s="158"/>
      <c r="BN37" s="1081"/>
      <c r="BO37" s="132"/>
      <c r="BQ37" s="230"/>
    </row>
    <row r="38" spans="1:69" ht="48" customHeight="1" x14ac:dyDescent="0.2">
      <c r="A38" s="582" t="s">
        <v>80</v>
      </c>
      <c r="B38" s="232" t="s">
        <v>219</v>
      </c>
      <c r="C38" s="242" t="s">
        <v>81</v>
      </c>
      <c r="D38" s="232" t="s">
        <v>12</v>
      </c>
      <c r="E38" s="232" t="s">
        <v>223</v>
      </c>
      <c r="F38" s="430" t="s">
        <v>14</v>
      </c>
      <c r="G38" s="232"/>
      <c r="H38" s="202">
        <v>6763200</v>
      </c>
      <c r="I38" s="518">
        <f t="shared" si="13"/>
        <v>6763200</v>
      </c>
      <c r="J38" s="164">
        <f t="shared" si="14"/>
        <v>0</v>
      </c>
      <c r="K38" s="164">
        <f t="shared" si="15"/>
        <v>1756300</v>
      </c>
      <c r="L38" s="202"/>
      <c r="M38" s="233"/>
      <c r="N38" s="202"/>
      <c r="O38" s="234"/>
      <c r="P38" s="511"/>
      <c r="Q38" s="512"/>
      <c r="R38" s="202"/>
      <c r="S38" s="241"/>
      <c r="T38" s="202"/>
      <c r="U38" s="233"/>
      <c r="V38" s="202"/>
      <c r="W38" s="234">
        <f t="shared" si="16"/>
        <v>0</v>
      </c>
      <c r="X38" s="202">
        <f>1434000+322300</f>
        <v>1756300</v>
      </c>
      <c r="Y38" s="233">
        <f>1434000+322300</f>
        <v>1756300</v>
      </c>
      <c r="Z38" s="202">
        <v>1756300</v>
      </c>
      <c r="AA38" s="234">
        <f t="shared" si="17"/>
        <v>0</v>
      </c>
      <c r="AB38" s="202"/>
      <c r="AC38" s="233"/>
      <c r="AD38" s="202"/>
      <c r="AE38" s="234">
        <f t="shared" si="18"/>
        <v>0</v>
      </c>
      <c r="AF38" s="202"/>
      <c r="AG38" s="233"/>
      <c r="AH38" s="202"/>
      <c r="AI38" s="234">
        <f t="shared" si="25"/>
        <v>0</v>
      </c>
      <c r="AJ38" s="202"/>
      <c r="AK38" s="233"/>
      <c r="AL38" s="202"/>
      <c r="AM38" s="234">
        <f t="shared" si="19"/>
        <v>0</v>
      </c>
      <c r="AN38" s="202"/>
      <c r="AO38" s="233"/>
      <c r="AP38" s="202"/>
      <c r="AQ38" s="234">
        <f t="shared" si="20"/>
        <v>0</v>
      </c>
      <c r="AR38" s="202"/>
      <c r="AS38" s="233"/>
      <c r="AT38" s="202"/>
      <c r="AU38" s="234">
        <f t="shared" si="21"/>
        <v>0</v>
      </c>
      <c r="AV38" s="202"/>
      <c r="AW38" s="233"/>
      <c r="AX38" s="202"/>
      <c r="AY38" s="234">
        <f t="shared" si="22"/>
        <v>0</v>
      </c>
      <c r="AZ38" s="202"/>
      <c r="BA38" s="233"/>
      <c r="BB38" s="202"/>
      <c r="BC38" s="513">
        <f t="shared" si="24"/>
        <v>0</v>
      </c>
      <c r="BD38" s="202">
        <v>5006900</v>
      </c>
      <c r="BE38" s="202"/>
      <c r="BF38" s="233"/>
      <c r="BG38" s="236"/>
      <c r="BH38" s="523">
        <f t="shared" si="26"/>
        <v>0</v>
      </c>
      <c r="BI38" s="526"/>
      <c r="BJ38" s="202"/>
      <c r="BK38" s="202"/>
      <c r="BL38" s="501">
        <f t="shared" si="23"/>
        <v>6763200</v>
      </c>
      <c r="BM38" s="158"/>
      <c r="BN38" s="627" t="s">
        <v>528</v>
      </c>
      <c r="BO38" s="132"/>
      <c r="BQ38" s="230" t="str">
        <f>IF(BJ38&gt;0,BJ38,"")</f>
        <v/>
      </c>
    </row>
    <row r="39" spans="1:69" ht="24" customHeight="1" x14ac:dyDescent="0.2">
      <c r="A39" s="1059" t="s">
        <v>82</v>
      </c>
      <c r="B39" s="232" t="s">
        <v>219</v>
      </c>
      <c r="C39" s="242" t="s">
        <v>83</v>
      </c>
      <c r="D39" s="528" t="s">
        <v>328</v>
      </c>
      <c r="E39" s="232" t="s">
        <v>231</v>
      </c>
      <c r="F39" s="430" t="s">
        <v>14</v>
      </c>
      <c r="G39" s="232"/>
      <c r="H39" s="202">
        <v>3200000</v>
      </c>
      <c r="I39" s="518">
        <f t="shared" si="13"/>
        <v>3200000</v>
      </c>
      <c r="J39" s="164">
        <f t="shared" si="14"/>
        <v>0</v>
      </c>
      <c r="K39" s="164">
        <f t="shared" si="15"/>
        <v>324653.44</v>
      </c>
      <c r="L39" s="202"/>
      <c r="M39" s="233"/>
      <c r="N39" s="202"/>
      <c r="O39" s="234"/>
      <c r="P39" s="511"/>
      <c r="Q39" s="512"/>
      <c r="R39" s="202"/>
      <c r="S39" s="241"/>
      <c r="T39" s="202"/>
      <c r="U39" s="233"/>
      <c r="V39" s="202"/>
      <c r="W39" s="234">
        <f t="shared" si="16"/>
        <v>0</v>
      </c>
      <c r="X39" s="202"/>
      <c r="Y39" s="233"/>
      <c r="Z39" s="202"/>
      <c r="AA39" s="234">
        <f t="shared" si="17"/>
        <v>0</v>
      </c>
      <c r="AB39" s="202"/>
      <c r="AC39" s="233"/>
      <c r="AD39" s="202"/>
      <c r="AE39" s="234">
        <f t="shared" si="18"/>
        <v>0</v>
      </c>
      <c r="AF39" s="202">
        <f>340000-15346.56</f>
        <v>324653.44</v>
      </c>
      <c r="AG39" s="233">
        <f>340000-15346.56</f>
        <v>324653.44</v>
      </c>
      <c r="AH39" s="202">
        <v>324653.44</v>
      </c>
      <c r="AI39" s="234">
        <f t="shared" si="25"/>
        <v>0</v>
      </c>
      <c r="AJ39" s="202"/>
      <c r="AK39" s="233"/>
      <c r="AL39" s="202"/>
      <c r="AM39" s="234">
        <f t="shared" si="19"/>
        <v>0</v>
      </c>
      <c r="AN39" s="202"/>
      <c r="AO39" s="233"/>
      <c r="AP39" s="202"/>
      <c r="AQ39" s="234">
        <f t="shared" si="20"/>
        <v>0</v>
      </c>
      <c r="AR39" s="202"/>
      <c r="AS39" s="233"/>
      <c r="AT39" s="202"/>
      <c r="AU39" s="234">
        <f t="shared" si="21"/>
        <v>0</v>
      </c>
      <c r="AV39" s="202">
        <v>900000</v>
      </c>
      <c r="AW39" s="233"/>
      <c r="AX39" s="202"/>
      <c r="AY39" s="234">
        <f t="shared" si="22"/>
        <v>0</v>
      </c>
      <c r="AZ39" s="202">
        <v>400000</v>
      </c>
      <c r="BA39" s="233"/>
      <c r="BB39" s="202"/>
      <c r="BC39" s="513">
        <f t="shared" si="24"/>
        <v>0</v>
      </c>
      <c r="BD39" s="202">
        <v>1575346.56</v>
      </c>
      <c r="BE39" s="202"/>
      <c r="BF39" s="233"/>
      <c r="BG39" s="236"/>
      <c r="BH39" s="523">
        <f t="shared" si="26"/>
        <v>0</v>
      </c>
      <c r="BI39" s="526"/>
      <c r="BJ39" s="202"/>
      <c r="BK39" s="202"/>
      <c r="BL39" s="501">
        <f>H39+BJ39+BK39</f>
        <v>3200000</v>
      </c>
      <c r="BM39" s="158"/>
      <c r="BN39" s="1092" t="s">
        <v>613</v>
      </c>
      <c r="BO39" s="132"/>
      <c r="BQ39" s="230"/>
    </row>
    <row r="40" spans="1:69" ht="24" customHeight="1" x14ac:dyDescent="0.2">
      <c r="A40" s="1091"/>
      <c r="B40" s="232" t="s">
        <v>219</v>
      </c>
      <c r="C40" s="242" t="s">
        <v>83</v>
      </c>
      <c r="D40" s="232" t="s">
        <v>12</v>
      </c>
      <c r="E40" s="232" t="s">
        <v>221</v>
      </c>
      <c r="F40" s="430" t="s">
        <v>14</v>
      </c>
      <c r="G40" s="232"/>
      <c r="H40" s="202">
        <f>145466700-29.99+18000000</f>
        <v>163466670.00999999</v>
      </c>
      <c r="I40" s="518">
        <f t="shared" si="13"/>
        <v>166966670.00999996</v>
      </c>
      <c r="J40" s="164">
        <f t="shared" si="14"/>
        <v>-3499999.9999999702</v>
      </c>
      <c r="K40" s="164">
        <f t="shared" si="15"/>
        <v>102587902.34</v>
      </c>
      <c r="L40" s="202"/>
      <c r="M40" s="233"/>
      <c r="N40" s="202"/>
      <c r="O40" s="234"/>
      <c r="P40" s="202"/>
      <c r="Q40" s="512"/>
      <c r="R40" s="202"/>
      <c r="S40" s="241"/>
      <c r="T40" s="202">
        <v>21488760.010000002</v>
      </c>
      <c r="U40" s="233">
        <v>21488760.010000002</v>
      </c>
      <c r="V40" s="202">
        <v>21488760.010000002</v>
      </c>
      <c r="W40" s="234">
        <f t="shared" si="16"/>
        <v>0</v>
      </c>
      <c r="X40" s="202">
        <f>5949915.12-3076134.97</f>
        <v>2873780.15</v>
      </c>
      <c r="Y40" s="233">
        <f>5949915.12-3076134.97</f>
        <v>2873780.15</v>
      </c>
      <c r="Z40" s="202">
        <v>2873780.15</v>
      </c>
      <c r="AA40" s="234">
        <f t="shared" si="17"/>
        <v>0</v>
      </c>
      <c r="AB40" s="202"/>
      <c r="AC40" s="233"/>
      <c r="AD40" s="522"/>
      <c r="AE40" s="234">
        <f t="shared" si="18"/>
        <v>0</v>
      </c>
      <c r="AF40" s="202">
        <f>97000000-629314.68-18145323.14</f>
        <v>78225362.179999992</v>
      </c>
      <c r="AG40" s="233">
        <f>97000000-629314.68-18145323.14</f>
        <v>78225362.179999992</v>
      </c>
      <c r="AH40" s="202">
        <v>78225362.180000007</v>
      </c>
      <c r="AI40" s="234">
        <f t="shared" si="25"/>
        <v>0</v>
      </c>
      <c r="AJ40" s="202">
        <v>19380000</v>
      </c>
      <c r="AK40" s="233">
        <v>19380000</v>
      </c>
      <c r="AL40" s="202"/>
      <c r="AM40" s="234">
        <f t="shared" si="19"/>
        <v>-19380000</v>
      </c>
      <c r="AN40" s="202">
        <v>18000000</v>
      </c>
      <c r="AO40" s="233">
        <v>18000000</v>
      </c>
      <c r="AP40" s="202"/>
      <c r="AQ40" s="234">
        <f t="shared" si="20"/>
        <v>-18000000</v>
      </c>
      <c r="AR40" s="202">
        <v>6270323.1399999997</v>
      </c>
      <c r="AS40" s="233"/>
      <c r="AT40" s="202"/>
      <c r="AU40" s="234">
        <f t="shared" si="21"/>
        <v>0</v>
      </c>
      <c r="AV40" s="202"/>
      <c r="AW40" s="233"/>
      <c r="AX40" s="202"/>
      <c r="AY40" s="234">
        <f t="shared" si="22"/>
        <v>0</v>
      </c>
      <c r="AZ40" s="202">
        <v>15000000</v>
      </c>
      <c r="BA40" s="233"/>
      <c r="BB40" s="202"/>
      <c r="BC40" s="513">
        <f t="shared" si="24"/>
        <v>0</v>
      </c>
      <c r="BD40" s="202">
        <v>5728444.5300000003</v>
      </c>
      <c r="BE40" s="202"/>
      <c r="BF40" s="233"/>
      <c r="BG40" s="236"/>
      <c r="BH40" s="523">
        <f t="shared" si="26"/>
        <v>0</v>
      </c>
      <c r="BI40" s="526"/>
      <c r="BJ40" s="202"/>
      <c r="BK40" s="202"/>
      <c r="BL40" s="501">
        <f t="shared" si="23"/>
        <v>163466670.00999999</v>
      </c>
      <c r="BM40" s="158"/>
      <c r="BN40" s="1093"/>
      <c r="BO40" s="132"/>
      <c r="BQ40" s="230" t="str">
        <f>IF(BJ40&gt;0,BJ40,"")</f>
        <v/>
      </c>
    </row>
    <row r="41" spans="1:69" ht="24" customHeight="1" x14ac:dyDescent="0.2">
      <c r="A41" s="1060"/>
      <c r="B41" s="232" t="s">
        <v>219</v>
      </c>
      <c r="C41" s="242" t="s">
        <v>226</v>
      </c>
      <c r="D41" s="232" t="s">
        <v>12</v>
      </c>
      <c r="E41" s="232" t="s">
        <v>231</v>
      </c>
      <c r="F41" s="430" t="s">
        <v>14</v>
      </c>
      <c r="G41" s="232"/>
      <c r="H41" s="202">
        <f>3016000+317300</f>
        <v>3333300</v>
      </c>
      <c r="I41" s="518">
        <f t="shared" si="13"/>
        <v>3314300</v>
      </c>
      <c r="J41" s="164">
        <f t="shared" si="14"/>
        <v>19000</v>
      </c>
      <c r="K41" s="164">
        <f t="shared" si="15"/>
        <v>2705542.48</v>
      </c>
      <c r="L41" s="202"/>
      <c r="M41" s="233"/>
      <c r="N41" s="202"/>
      <c r="O41" s="234"/>
      <c r="P41" s="202"/>
      <c r="Q41" s="512"/>
      <c r="R41" s="202"/>
      <c r="S41" s="241"/>
      <c r="T41" s="202">
        <v>2206836.83</v>
      </c>
      <c r="U41" s="233">
        <v>2206836.83</v>
      </c>
      <c r="V41" s="202">
        <v>2206836.83</v>
      </c>
      <c r="W41" s="234">
        <f t="shared" si="16"/>
        <v>0</v>
      </c>
      <c r="X41" s="202"/>
      <c r="Y41" s="233"/>
      <c r="Z41" s="202"/>
      <c r="AA41" s="234">
        <f t="shared" si="17"/>
        <v>0</v>
      </c>
      <c r="AB41" s="202"/>
      <c r="AC41" s="233"/>
      <c r="AD41" s="522"/>
      <c r="AE41" s="234">
        <f t="shared" si="18"/>
        <v>0</v>
      </c>
      <c r="AF41" s="202">
        <f>160000+338705.65</f>
        <v>498705.65</v>
      </c>
      <c r="AG41" s="233">
        <f>160000+338705.65</f>
        <v>498705.65</v>
      </c>
      <c r="AH41" s="202">
        <v>498705.65</v>
      </c>
      <c r="AI41" s="234">
        <f t="shared" si="25"/>
        <v>0</v>
      </c>
      <c r="AJ41" s="202">
        <v>148850</v>
      </c>
      <c r="AK41" s="233">
        <v>148850</v>
      </c>
      <c r="AL41" s="202"/>
      <c r="AM41" s="234">
        <f t="shared" si="19"/>
        <v>-148850</v>
      </c>
      <c r="AN41" s="202">
        <v>121000</v>
      </c>
      <c r="AO41" s="233">
        <v>121000</v>
      </c>
      <c r="AP41" s="202"/>
      <c r="AQ41" s="234">
        <f t="shared" si="20"/>
        <v>-121000</v>
      </c>
      <c r="AR41" s="202"/>
      <c r="AS41" s="233"/>
      <c r="AT41" s="202"/>
      <c r="AU41" s="234">
        <f t="shared" si="21"/>
        <v>0</v>
      </c>
      <c r="AV41" s="202">
        <v>70000</v>
      </c>
      <c r="AW41" s="233"/>
      <c r="AX41" s="202"/>
      <c r="AY41" s="234">
        <f t="shared" si="22"/>
        <v>0</v>
      </c>
      <c r="AZ41" s="202">
        <v>27000</v>
      </c>
      <c r="BA41" s="233"/>
      <c r="BB41" s="202"/>
      <c r="BC41" s="513">
        <f t="shared" si="24"/>
        <v>0</v>
      </c>
      <c r="BD41" s="202">
        <v>241907.52</v>
      </c>
      <c r="BE41" s="202"/>
      <c r="BF41" s="233"/>
      <c r="BG41" s="236"/>
      <c r="BH41" s="523">
        <f t="shared" si="26"/>
        <v>0</v>
      </c>
      <c r="BI41" s="526"/>
      <c r="BJ41" s="202"/>
      <c r="BK41" s="527"/>
      <c r="BL41" s="501">
        <f t="shared" si="23"/>
        <v>3333300</v>
      </c>
      <c r="BM41" s="158"/>
      <c r="BN41" s="1094"/>
      <c r="BO41" s="132"/>
      <c r="BQ41" s="230"/>
    </row>
    <row r="42" spans="1:69" ht="24" customHeight="1" x14ac:dyDescent="0.2">
      <c r="A42" s="1059" t="s">
        <v>84</v>
      </c>
      <c r="B42" s="232" t="s">
        <v>219</v>
      </c>
      <c r="C42" s="232" t="s">
        <v>85</v>
      </c>
      <c r="D42" s="232" t="s">
        <v>12</v>
      </c>
      <c r="E42" s="232" t="s">
        <v>221</v>
      </c>
      <c r="F42" s="430" t="s">
        <v>14</v>
      </c>
      <c r="G42" s="232"/>
      <c r="H42" s="202">
        <f>45438200-8721022.33</f>
        <v>36717177.670000002</v>
      </c>
      <c r="I42" s="518">
        <f t="shared" si="13"/>
        <v>36717177.670000002</v>
      </c>
      <c r="J42" s="164">
        <f t="shared" si="14"/>
        <v>0</v>
      </c>
      <c r="K42" s="164">
        <f t="shared" si="15"/>
        <v>36717177.560000002</v>
      </c>
      <c r="L42" s="202"/>
      <c r="M42" s="233"/>
      <c r="N42" s="202"/>
      <c r="O42" s="234"/>
      <c r="P42" s="202"/>
      <c r="Q42" s="512"/>
      <c r="R42" s="202"/>
      <c r="S42" s="241"/>
      <c r="T42" s="202"/>
      <c r="U42" s="233"/>
      <c r="V42" s="202"/>
      <c r="W42" s="234">
        <f t="shared" si="16"/>
        <v>0</v>
      </c>
      <c r="X42" s="202">
        <f>45438200-8721022.44</f>
        <v>36717177.560000002</v>
      </c>
      <c r="Y42" s="233">
        <f>45438200-8721022.44</f>
        <v>36717177.560000002</v>
      </c>
      <c r="Z42" s="202">
        <v>36717177.560000002</v>
      </c>
      <c r="AA42" s="234">
        <f t="shared" si="17"/>
        <v>0</v>
      </c>
      <c r="AB42" s="202"/>
      <c r="AC42" s="233"/>
      <c r="AD42" s="522"/>
      <c r="AE42" s="234">
        <f>AD42-AC42</f>
        <v>0</v>
      </c>
      <c r="AF42" s="202"/>
      <c r="AG42" s="233"/>
      <c r="AH42" s="202"/>
      <c r="AI42" s="234">
        <f t="shared" si="25"/>
        <v>0</v>
      </c>
      <c r="AJ42" s="202"/>
      <c r="AK42" s="233"/>
      <c r="AL42" s="202"/>
      <c r="AM42" s="234">
        <f t="shared" si="19"/>
        <v>0</v>
      </c>
      <c r="AN42" s="202"/>
      <c r="AO42" s="233"/>
      <c r="AP42" s="202"/>
      <c r="AQ42" s="234">
        <f t="shared" si="20"/>
        <v>0</v>
      </c>
      <c r="AR42" s="202"/>
      <c r="AS42" s="233"/>
      <c r="AT42" s="202"/>
      <c r="AU42" s="234">
        <f t="shared" si="21"/>
        <v>0</v>
      </c>
      <c r="AV42" s="202"/>
      <c r="AW42" s="233"/>
      <c r="AX42" s="202"/>
      <c r="AY42" s="234">
        <f t="shared" si="22"/>
        <v>0</v>
      </c>
      <c r="AZ42" s="202"/>
      <c r="BA42" s="233"/>
      <c r="BB42" s="202"/>
      <c r="BC42" s="513">
        <f t="shared" si="24"/>
        <v>0</v>
      </c>
      <c r="BD42" s="202">
        <v>0.11</v>
      </c>
      <c r="BE42" s="202"/>
      <c r="BF42" s="233"/>
      <c r="BG42" s="236"/>
      <c r="BH42" s="523">
        <f t="shared" si="26"/>
        <v>0</v>
      </c>
      <c r="BI42" s="526"/>
      <c r="BJ42" s="202"/>
      <c r="BK42" s="202"/>
      <c r="BL42" s="501">
        <f t="shared" si="23"/>
        <v>36717177.670000002</v>
      </c>
      <c r="BM42" s="158"/>
      <c r="BN42" s="1080" t="s">
        <v>528</v>
      </c>
      <c r="BO42" s="132"/>
      <c r="BQ42" s="230" t="str">
        <f>IF(BJ42&gt;0,BJ42,"")</f>
        <v/>
      </c>
    </row>
    <row r="43" spans="1:69" ht="21.75" customHeight="1" x14ac:dyDescent="0.2">
      <c r="A43" s="1060"/>
      <c r="B43" s="232" t="s">
        <v>219</v>
      </c>
      <c r="C43" s="232" t="s">
        <v>85</v>
      </c>
      <c r="D43" s="232" t="s">
        <v>12</v>
      </c>
      <c r="E43" s="232" t="s">
        <v>231</v>
      </c>
      <c r="F43" s="430" t="s">
        <v>14</v>
      </c>
      <c r="G43" s="232"/>
      <c r="H43" s="202">
        <f>34889400+8721022.33</f>
        <v>43610422.329999998</v>
      </c>
      <c r="I43" s="518">
        <f t="shared" si="13"/>
        <v>43610422.329999998</v>
      </c>
      <c r="J43" s="164">
        <f t="shared" si="14"/>
        <v>0</v>
      </c>
      <c r="K43" s="164">
        <f t="shared" si="15"/>
        <v>43610422.329999998</v>
      </c>
      <c r="L43" s="202"/>
      <c r="M43" s="233"/>
      <c r="N43" s="202"/>
      <c r="O43" s="234"/>
      <c r="P43" s="202"/>
      <c r="Q43" s="512"/>
      <c r="R43" s="202"/>
      <c r="S43" s="241"/>
      <c r="T43" s="202"/>
      <c r="U43" s="233"/>
      <c r="V43" s="202"/>
      <c r="W43" s="234">
        <f t="shared" si="16"/>
        <v>0</v>
      </c>
      <c r="X43" s="202">
        <f>34889400+8721022.33</f>
        <v>43610422.329999998</v>
      </c>
      <c r="Y43" s="233">
        <f>34889400+8721022.33</f>
        <v>43610422.329999998</v>
      </c>
      <c r="Z43" s="202">
        <v>43610422.329999998</v>
      </c>
      <c r="AA43" s="234">
        <f t="shared" si="17"/>
        <v>0</v>
      </c>
      <c r="AB43" s="202"/>
      <c r="AC43" s="233"/>
      <c r="AD43" s="522"/>
      <c r="AE43" s="234"/>
      <c r="AF43" s="202"/>
      <c r="AG43" s="233"/>
      <c r="AH43" s="202"/>
      <c r="AI43" s="234">
        <f t="shared" si="25"/>
        <v>0</v>
      </c>
      <c r="AJ43" s="202"/>
      <c r="AK43" s="233"/>
      <c r="AL43" s="202"/>
      <c r="AM43" s="234">
        <f t="shared" si="19"/>
        <v>0</v>
      </c>
      <c r="AN43" s="202"/>
      <c r="AO43" s="233"/>
      <c r="AP43" s="202"/>
      <c r="AQ43" s="234">
        <f t="shared" si="20"/>
        <v>0</v>
      </c>
      <c r="AR43" s="202"/>
      <c r="AS43" s="233"/>
      <c r="AT43" s="202"/>
      <c r="AU43" s="234">
        <f t="shared" si="21"/>
        <v>0</v>
      </c>
      <c r="AV43" s="202"/>
      <c r="AW43" s="233"/>
      <c r="AX43" s="202"/>
      <c r="AY43" s="234">
        <f t="shared" si="22"/>
        <v>0</v>
      </c>
      <c r="AZ43" s="202"/>
      <c r="BA43" s="233"/>
      <c r="BB43" s="202"/>
      <c r="BC43" s="513">
        <f t="shared" si="24"/>
        <v>0</v>
      </c>
      <c r="BD43" s="202"/>
      <c r="BE43" s="202"/>
      <c r="BF43" s="233"/>
      <c r="BG43" s="236"/>
      <c r="BH43" s="523">
        <f t="shared" si="26"/>
        <v>0</v>
      </c>
      <c r="BI43" s="526"/>
      <c r="BJ43" s="202"/>
      <c r="BK43" s="202"/>
      <c r="BL43" s="501">
        <f t="shared" si="23"/>
        <v>43610422.329999998</v>
      </c>
      <c r="BM43" s="158"/>
      <c r="BN43" s="1081"/>
      <c r="BO43" s="132"/>
      <c r="BQ43" s="230"/>
    </row>
    <row r="44" spans="1:69" ht="27.75" customHeight="1" x14ac:dyDescent="0.2">
      <c r="A44" s="1069" t="s">
        <v>655</v>
      </c>
      <c r="B44" s="232" t="s">
        <v>219</v>
      </c>
      <c r="C44" s="530" t="s">
        <v>375</v>
      </c>
      <c r="D44" s="232" t="s">
        <v>328</v>
      </c>
      <c r="E44" s="232" t="s">
        <v>231</v>
      </c>
      <c r="F44" s="430" t="s">
        <v>14</v>
      </c>
      <c r="G44" s="242"/>
      <c r="H44" s="202">
        <v>5000000</v>
      </c>
      <c r="I44" s="510">
        <f>L44+P44+T44+X44+AB44+AF44+AJ44+AN44+AR44+AV44+AZ44+BD44</f>
        <v>5000000</v>
      </c>
      <c r="J44" s="261">
        <f t="shared" si="14"/>
        <v>0</v>
      </c>
      <c r="K44" s="164">
        <f t="shared" si="15"/>
        <v>0</v>
      </c>
      <c r="L44" s="202"/>
      <c r="M44" s="233"/>
      <c r="N44" s="202"/>
      <c r="O44" s="234"/>
      <c r="P44" s="202"/>
      <c r="Q44" s="512"/>
      <c r="R44" s="202"/>
      <c r="S44" s="241"/>
      <c r="T44" s="202"/>
      <c r="U44" s="233"/>
      <c r="V44" s="202"/>
      <c r="W44" s="234"/>
      <c r="X44" s="202"/>
      <c r="Y44" s="233"/>
      <c r="Z44" s="202"/>
      <c r="AA44" s="234"/>
      <c r="AB44" s="202"/>
      <c r="AC44" s="233"/>
      <c r="AD44" s="522"/>
      <c r="AE44" s="234">
        <f>AD44-AC44</f>
        <v>0</v>
      </c>
      <c r="AF44" s="202"/>
      <c r="AG44" s="233"/>
      <c r="AH44" s="202"/>
      <c r="AI44" s="234">
        <f>AH44-AG44</f>
        <v>0</v>
      </c>
      <c r="AJ44" s="202"/>
      <c r="AK44" s="233"/>
      <c r="AL44" s="202"/>
      <c r="AM44" s="241">
        <f t="shared" ref="AM44:AM51" si="27">AL44-AK44</f>
        <v>0</v>
      </c>
      <c r="AN44" s="202">
        <v>5000000</v>
      </c>
      <c r="AO44" s="233"/>
      <c r="AP44" s="202"/>
      <c r="AQ44" s="234">
        <f t="shared" si="20"/>
        <v>0</v>
      </c>
      <c r="AR44" s="202"/>
      <c r="AS44" s="233"/>
      <c r="AT44" s="202"/>
      <c r="AU44" s="234">
        <f t="shared" si="21"/>
        <v>0</v>
      </c>
      <c r="AV44" s="202"/>
      <c r="AW44" s="233"/>
      <c r="AX44" s="202"/>
      <c r="AY44" s="234">
        <f t="shared" si="22"/>
        <v>0</v>
      </c>
      <c r="AZ44" s="202"/>
      <c r="BA44" s="233"/>
      <c r="BB44" s="202"/>
      <c r="BC44" s="513">
        <f t="shared" si="24"/>
        <v>0</v>
      </c>
      <c r="BD44" s="202"/>
      <c r="BE44" s="202"/>
      <c r="BF44" s="233"/>
      <c r="BG44" s="236"/>
      <c r="BH44" s="523">
        <f t="shared" si="26"/>
        <v>0</v>
      </c>
      <c r="BI44" s="251" t="s">
        <v>385</v>
      </c>
      <c r="BJ44" s="202"/>
      <c r="BK44" s="202"/>
      <c r="BL44" s="501">
        <f t="shared" si="23"/>
        <v>5000000</v>
      </c>
      <c r="BM44" s="239"/>
      <c r="BN44" s="627"/>
      <c r="BO44" s="132"/>
      <c r="BQ44" s="230"/>
    </row>
    <row r="45" spans="1:69" ht="27.75" customHeight="1" x14ac:dyDescent="0.2">
      <c r="A45" s="1070"/>
      <c r="B45" s="232" t="s">
        <v>219</v>
      </c>
      <c r="C45" s="530" t="s">
        <v>375</v>
      </c>
      <c r="D45" s="232" t="s">
        <v>12</v>
      </c>
      <c r="E45" s="232" t="s">
        <v>231</v>
      </c>
      <c r="F45" s="430" t="s">
        <v>14</v>
      </c>
      <c r="G45" s="242"/>
      <c r="H45" s="202">
        <v>9850000</v>
      </c>
      <c r="I45" s="510">
        <f>L45+P45+T45+X45+AB45+AF45+AJ45+AN45+AR45+AV45+AZ45+BD45</f>
        <v>9850000</v>
      </c>
      <c r="J45" s="261">
        <f t="shared" si="14"/>
        <v>0</v>
      </c>
      <c r="K45" s="164">
        <f t="shared" si="15"/>
        <v>0</v>
      </c>
      <c r="L45" s="202"/>
      <c r="M45" s="233"/>
      <c r="N45" s="202"/>
      <c r="O45" s="234"/>
      <c r="P45" s="202"/>
      <c r="Q45" s="512"/>
      <c r="R45" s="202"/>
      <c r="S45" s="241"/>
      <c r="T45" s="202"/>
      <c r="U45" s="233"/>
      <c r="V45" s="202"/>
      <c r="W45" s="234"/>
      <c r="X45" s="202"/>
      <c r="Y45" s="233"/>
      <c r="Z45" s="202"/>
      <c r="AA45" s="234"/>
      <c r="AB45" s="202"/>
      <c r="AC45" s="233"/>
      <c r="AD45" s="522"/>
      <c r="AE45" s="234"/>
      <c r="AF45" s="202"/>
      <c r="AG45" s="233"/>
      <c r="AH45" s="202"/>
      <c r="AI45" s="234"/>
      <c r="AJ45" s="202"/>
      <c r="AK45" s="233"/>
      <c r="AL45" s="202"/>
      <c r="AM45" s="241">
        <f t="shared" si="27"/>
        <v>0</v>
      </c>
      <c r="AN45" s="202">
        <v>9850000</v>
      </c>
      <c r="AO45" s="233"/>
      <c r="AP45" s="202"/>
      <c r="AQ45" s="234"/>
      <c r="AR45" s="202"/>
      <c r="AS45" s="233"/>
      <c r="AT45" s="202"/>
      <c r="AU45" s="234">
        <f t="shared" si="21"/>
        <v>0</v>
      </c>
      <c r="AV45" s="202"/>
      <c r="AW45" s="233"/>
      <c r="AX45" s="202"/>
      <c r="AY45" s="234">
        <f t="shared" si="22"/>
        <v>0</v>
      </c>
      <c r="AZ45" s="202"/>
      <c r="BA45" s="233"/>
      <c r="BB45" s="202"/>
      <c r="BC45" s="513">
        <f t="shared" si="24"/>
        <v>0</v>
      </c>
      <c r="BD45" s="202"/>
      <c r="BE45" s="202"/>
      <c r="BF45" s="233"/>
      <c r="BG45" s="236"/>
      <c r="BH45" s="523">
        <f t="shared" si="26"/>
        <v>0</v>
      </c>
      <c r="BI45" s="251" t="s">
        <v>385</v>
      </c>
      <c r="BJ45" s="202"/>
      <c r="BK45" s="202"/>
      <c r="BL45" s="501">
        <f t="shared" si="23"/>
        <v>9850000</v>
      </c>
      <c r="BM45" s="239"/>
      <c r="BN45" s="627"/>
      <c r="BO45" s="132"/>
      <c r="BQ45" s="230"/>
    </row>
    <row r="46" spans="1:69" ht="24" customHeight="1" x14ac:dyDescent="0.2">
      <c r="A46" s="1059" t="s">
        <v>330</v>
      </c>
      <c r="B46" s="232" t="s">
        <v>219</v>
      </c>
      <c r="C46" s="232" t="s">
        <v>87</v>
      </c>
      <c r="D46" s="232" t="s">
        <v>12</v>
      </c>
      <c r="E46" s="232" t="s">
        <v>223</v>
      </c>
      <c r="F46" s="430" t="s">
        <v>14</v>
      </c>
      <c r="G46" s="232"/>
      <c r="H46" s="202">
        <f>H48+H50</f>
        <v>133780000</v>
      </c>
      <c r="I46" s="645">
        <f t="shared" ref="I46:P46" si="28">I48+I50</f>
        <v>133780000</v>
      </c>
      <c r="J46" s="202">
        <f t="shared" si="28"/>
        <v>0</v>
      </c>
      <c r="K46" s="202">
        <f t="shared" si="28"/>
        <v>75248285.599999994</v>
      </c>
      <c r="L46" s="202">
        <f t="shared" si="28"/>
        <v>0</v>
      </c>
      <c r="M46" s="202">
        <f t="shared" si="28"/>
        <v>0</v>
      </c>
      <c r="N46" s="202">
        <f t="shared" si="28"/>
        <v>0</v>
      </c>
      <c r="O46" s="202">
        <f t="shared" si="28"/>
        <v>0</v>
      </c>
      <c r="P46" s="202">
        <f t="shared" si="28"/>
        <v>0</v>
      </c>
      <c r="Q46" s="233"/>
      <c r="R46" s="202"/>
      <c r="S46" s="234"/>
      <c r="T46" s="202">
        <f>T48+T50</f>
        <v>0</v>
      </c>
      <c r="U46" s="233"/>
      <c r="V46" s="202"/>
      <c r="W46" s="234">
        <f>W48+W50</f>
        <v>0</v>
      </c>
      <c r="X46" s="202">
        <f>X48+X50</f>
        <v>18109796</v>
      </c>
      <c r="Y46" s="233">
        <f>Y48+Y50</f>
        <v>18109796</v>
      </c>
      <c r="Z46" s="202">
        <f>Z48+Z50</f>
        <v>18109796</v>
      </c>
      <c r="AA46" s="234">
        <f t="shared" si="17"/>
        <v>0</v>
      </c>
      <c r="AB46" s="202">
        <f>AB48+AB50</f>
        <v>0</v>
      </c>
      <c r="AC46" s="233"/>
      <c r="AD46" s="202"/>
      <c r="AE46" s="234">
        <f>AE48+AE50</f>
        <v>0</v>
      </c>
      <c r="AF46" s="202">
        <f>AF48+AF50</f>
        <v>57138489.600000001</v>
      </c>
      <c r="AG46" s="233">
        <f>AG48+AG50</f>
        <v>57138489.600000001</v>
      </c>
      <c r="AH46" s="202">
        <f>AH48+AH50</f>
        <v>57138489.600000001</v>
      </c>
      <c r="AI46" s="234">
        <f t="shared" si="25"/>
        <v>0</v>
      </c>
      <c r="AJ46" s="202">
        <f>AJ48+AJ50</f>
        <v>0</v>
      </c>
      <c r="AK46" s="233"/>
      <c r="AL46" s="202"/>
      <c r="AM46" s="241">
        <f t="shared" si="27"/>
        <v>0</v>
      </c>
      <c r="AN46" s="202">
        <f>AN48+AN50</f>
        <v>0</v>
      </c>
      <c r="AO46" s="233"/>
      <c r="AP46" s="202"/>
      <c r="AQ46" s="234">
        <f>AP46-AO46</f>
        <v>0</v>
      </c>
      <c r="AR46" s="202">
        <f>AR48+AR50</f>
        <v>56896380.399999999</v>
      </c>
      <c r="AS46" s="233"/>
      <c r="AT46" s="202"/>
      <c r="AU46" s="234">
        <f t="shared" si="21"/>
        <v>0</v>
      </c>
      <c r="AV46" s="202">
        <f>AV48+AV50</f>
        <v>0</v>
      </c>
      <c r="AW46" s="233"/>
      <c r="AX46" s="202"/>
      <c r="AY46" s="234">
        <f>AX46-AW46</f>
        <v>0</v>
      </c>
      <c r="AZ46" s="202">
        <f>AZ48+AZ50</f>
        <v>0</v>
      </c>
      <c r="BA46" s="233"/>
      <c r="BB46" s="202"/>
      <c r="BC46" s="234">
        <f>BC48+BC50</f>
        <v>0</v>
      </c>
      <c r="BD46" s="202">
        <f>BD48+BD50</f>
        <v>1635334</v>
      </c>
      <c r="BE46" s="202"/>
      <c r="BF46" s="233"/>
      <c r="BG46" s="202"/>
      <c r="BH46" s="523">
        <f t="shared" si="26"/>
        <v>0</v>
      </c>
      <c r="BI46" s="526"/>
      <c r="BJ46" s="202"/>
      <c r="BK46" s="202"/>
      <c r="BL46" s="501">
        <f t="shared" si="23"/>
        <v>133780000</v>
      </c>
      <c r="BM46" s="158"/>
      <c r="BN46" s="627"/>
      <c r="BO46" s="132"/>
      <c r="BQ46" s="230" t="str">
        <f>IF(BJ46&gt;0,BJ46,"")</f>
        <v/>
      </c>
    </row>
    <row r="47" spans="1:69" ht="19.5" x14ac:dyDescent="0.2">
      <c r="A47" s="1060"/>
      <c r="B47" s="232" t="s">
        <v>219</v>
      </c>
      <c r="C47" s="232" t="s">
        <v>87</v>
      </c>
      <c r="D47" s="232" t="s">
        <v>12</v>
      </c>
      <c r="E47" s="232" t="s">
        <v>225</v>
      </c>
      <c r="F47" s="430" t="s">
        <v>14</v>
      </c>
      <c r="G47" s="232"/>
      <c r="H47" s="202">
        <f>H49</f>
        <v>35220000</v>
      </c>
      <c r="I47" s="645">
        <f t="shared" ref="I47:P47" si="29">I49</f>
        <v>35220000</v>
      </c>
      <c r="J47" s="202">
        <f t="shared" si="29"/>
        <v>0</v>
      </c>
      <c r="K47" s="202">
        <f t="shared" si="29"/>
        <v>20869438.799999997</v>
      </c>
      <c r="L47" s="202">
        <f t="shared" si="29"/>
        <v>0</v>
      </c>
      <c r="M47" s="202">
        <f t="shared" si="29"/>
        <v>0</v>
      </c>
      <c r="N47" s="202">
        <f t="shared" si="29"/>
        <v>0</v>
      </c>
      <c r="O47" s="202">
        <f t="shared" si="29"/>
        <v>0</v>
      </c>
      <c r="P47" s="202">
        <f t="shared" si="29"/>
        <v>0</v>
      </c>
      <c r="Q47" s="233"/>
      <c r="R47" s="202"/>
      <c r="S47" s="234"/>
      <c r="T47" s="202">
        <f>T49</f>
        <v>0</v>
      </c>
      <c r="U47" s="233"/>
      <c r="V47" s="202"/>
      <c r="W47" s="234"/>
      <c r="X47" s="202">
        <f>X49</f>
        <v>11709499.199999999</v>
      </c>
      <c r="Y47" s="233">
        <f>Y49</f>
        <v>11709499.199999999</v>
      </c>
      <c r="Z47" s="202">
        <f>Z49</f>
        <v>11709499.199999999</v>
      </c>
      <c r="AA47" s="234">
        <f t="shared" si="17"/>
        <v>0</v>
      </c>
      <c r="AB47" s="202">
        <f>AB49</f>
        <v>0</v>
      </c>
      <c r="AC47" s="233"/>
      <c r="AD47" s="202"/>
      <c r="AE47" s="234"/>
      <c r="AF47" s="202">
        <f>AF49</f>
        <v>9159939.5999999996</v>
      </c>
      <c r="AG47" s="233">
        <f>AG49</f>
        <v>9159939.5999999996</v>
      </c>
      <c r="AH47" s="202">
        <f>AH49</f>
        <v>9159939.5999999996</v>
      </c>
      <c r="AI47" s="241">
        <f>AG47-AH47</f>
        <v>0</v>
      </c>
      <c r="AJ47" s="202">
        <f>AJ49</f>
        <v>0</v>
      </c>
      <c r="AK47" s="233"/>
      <c r="AL47" s="202"/>
      <c r="AM47" s="241">
        <f t="shared" si="27"/>
        <v>0</v>
      </c>
      <c r="AN47" s="202">
        <f>AN49</f>
        <v>0</v>
      </c>
      <c r="AO47" s="233"/>
      <c r="AP47" s="202"/>
      <c r="AQ47" s="234"/>
      <c r="AR47" s="202">
        <f>AR49</f>
        <v>11801001.6</v>
      </c>
      <c r="AS47" s="233"/>
      <c r="AT47" s="202"/>
      <c r="AU47" s="234"/>
      <c r="AV47" s="202">
        <f>AV49</f>
        <v>0</v>
      </c>
      <c r="AW47" s="233"/>
      <c r="AX47" s="202"/>
      <c r="AY47" s="234"/>
      <c r="AZ47" s="202">
        <f>AZ49</f>
        <v>0</v>
      </c>
      <c r="BA47" s="233"/>
      <c r="BB47" s="202"/>
      <c r="BC47" s="513"/>
      <c r="BD47" s="202">
        <f>BD49</f>
        <v>2549559.6</v>
      </c>
      <c r="BE47" s="202"/>
      <c r="BF47" s="233"/>
      <c r="BG47" s="202"/>
      <c r="BH47" s="523"/>
      <c r="BI47" s="526"/>
      <c r="BJ47" s="202"/>
      <c r="BK47" s="202"/>
      <c r="BL47" s="501">
        <f t="shared" si="23"/>
        <v>35220000</v>
      </c>
      <c r="BM47" s="158"/>
      <c r="BN47" s="627"/>
      <c r="BO47" s="132"/>
      <c r="BQ47" s="230"/>
    </row>
    <row r="48" spans="1:69" ht="19.5" x14ac:dyDescent="0.2">
      <c r="A48" s="644" t="s">
        <v>329</v>
      </c>
      <c r="B48" s="232" t="s">
        <v>219</v>
      </c>
      <c r="C48" s="232" t="s">
        <v>87</v>
      </c>
      <c r="D48" s="232" t="s">
        <v>12</v>
      </c>
      <c r="E48" s="232" t="s">
        <v>223</v>
      </c>
      <c r="F48" s="430"/>
      <c r="G48" s="232"/>
      <c r="H48" s="202">
        <v>61589100</v>
      </c>
      <c r="I48" s="510">
        <f t="shared" ref="I48:I76" si="30">L48+P48+T48+X48+AB48+AF48+AJ48+AN48+AR48+AV48+AZ48+BD48</f>
        <v>61589100</v>
      </c>
      <c r="J48" s="261">
        <f t="shared" ref="J48:J58" si="31">H48-I48</f>
        <v>0</v>
      </c>
      <c r="K48" s="164">
        <f t="shared" ref="K48:K78" si="32">N48+R48+V48+Z48+AD48+AH48+AL48+AP48+AT48+AX48+BB48+BG48</f>
        <v>40663587.600000001</v>
      </c>
      <c r="L48" s="202"/>
      <c r="M48" s="233"/>
      <c r="N48" s="202"/>
      <c r="O48" s="234"/>
      <c r="P48" s="202"/>
      <c r="Q48" s="233"/>
      <c r="R48" s="202"/>
      <c r="S48" s="234"/>
      <c r="T48" s="202"/>
      <c r="U48" s="233"/>
      <c r="V48" s="202"/>
      <c r="W48" s="234">
        <f t="shared" si="16"/>
        <v>0</v>
      </c>
      <c r="X48" s="202"/>
      <c r="Y48" s="233"/>
      <c r="Z48" s="202"/>
      <c r="AA48" s="234">
        <f t="shared" si="17"/>
        <v>0</v>
      </c>
      <c r="AB48" s="202"/>
      <c r="AC48" s="233"/>
      <c r="AD48" s="202"/>
      <c r="AE48" s="234">
        <f t="shared" ref="AE48:AE88" si="33">AD48-AC48</f>
        <v>0</v>
      </c>
      <c r="AF48" s="202">
        <v>40663587.600000001</v>
      </c>
      <c r="AG48" s="233">
        <v>40663587.600000001</v>
      </c>
      <c r="AH48" s="202">
        <v>40663587.600000001</v>
      </c>
      <c r="AI48" s="234">
        <f t="shared" ref="AI48:AI77" si="34">AH48-AG48</f>
        <v>0</v>
      </c>
      <c r="AJ48" s="202"/>
      <c r="AK48" s="233"/>
      <c r="AL48" s="202"/>
      <c r="AM48" s="241">
        <f t="shared" si="27"/>
        <v>0</v>
      </c>
      <c r="AN48" s="202"/>
      <c r="AO48" s="233"/>
      <c r="AP48" s="202"/>
      <c r="AQ48" s="234">
        <f>AP48-AO48</f>
        <v>0</v>
      </c>
      <c r="AR48" s="202">
        <v>20925512.399999999</v>
      </c>
      <c r="AS48" s="233"/>
      <c r="AT48" s="202"/>
      <c r="AU48" s="234"/>
      <c r="AV48" s="202"/>
      <c r="AW48" s="233"/>
      <c r="AX48" s="202"/>
      <c r="AY48" s="234">
        <f>AX48-AW48</f>
        <v>0</v>
      </c>
      <c r="AZ48" s="202"/>
      <c r="BA48" s="233"/>
      <c r="BB48" s="202"/>
      <c r="BC48" s="513"/>
      <c r="BD48" s="202"/>
      <c r="BE48" s="202"/>
      <c r="BF48" s="233"/>
      <c r="BG48" s="202"/>
      <c r="BH48" s="523">
        <f t="shared" si="26"/>
        <v>0</v>
      </c>
      <c r="BI48" s="526" t="s">
        <v>446</v>
      </c>
      <c r="BJ48" s="202"/>
      <c r="BK48" s="202"/>
      <c r="BL48" s="501">
        <f t="shared" si="23"/>
        <v>61589100</v>
      </c>
      <c r="BM48" s="158"/>
      <c r="BN48" s="627" t="s">
        <v>650</v>
      </c>
      <c r="BO48" s="132"/>
      <c r="BQ48" s="230"/>
    </row>
    <row r="49" spans="1:69" ht="19.5" x14ac:dyDescent="0.2">
      <c r="A49" s="1061" t="s">
        <v>334</v>
      </c>
      <c r="B49" s="232" t="s">
        <v>219</v>
      </c>
      <c r="C49" s="232" t="s">
        <v>87</v>
      </c>
      <c r="D49" s="232" t="s">
        <v>12</v>
      </c>
      <c r="E49" s="232" t="s">
        <v>225</v>
      </c>
      <c r="F49" s="430"/>
      <c r="G49" s="232"/>
      <c r="H49" s="202">
        <v>35220000</v>
      </c>
      <c r="I49" s="510">
        <f t="shared" si="30"/>
        <v>35220000</v>
      </c>
      <c r="J49" s="261">
        <f t="shared" si="31"/>
        <v>0</v>
      </c>
      <c r="K49" s="164">
        <f t="shared" si="32"/>
        <v>20869438.799999997</v>
      </c>
      <c r="L49" s="202"/>
      <c r="M49" s="233"/>
      <c r="N49" s="202"/>
      <c r="O49" s="234"/>
      <c r="P49" s="202"/>
      <c r="Q49" s="233"/>
      <c r="R49" s="202"/>
      <c r="S49" s="234"/>
      <c r="T49" s="202"/>
      <c r="U49" s="233"/>
      <c r="V49" s="202"/>
      <c r="W49" s="234"/>
      <c r="X49" s="202">
        <v>11709499.199999999</v>
      </c>
      <c r="Y49" s="233">
        <v>11709499.199999999</v>
      </c>
      <c r="Z49" s="202">
        <v>11709499.199999999</v>
      </c>
      <c r="AA49" s="234">
        <f t="shared" si="17"/>
        <v>0</v>
      </c>
      <c r="AB49" s="202"/>
      <c r="AC49" s="233"/>
      <c r="AD49" s="202"/>
      <c r="AE49" s="234"/>
      <c r="AF49" s="202">
        <v>9159939.5999999996</v>
      </c>
      <c r="AG49" s="233">
        <v>9159939.5999999996</v>
      </c>
      <c r="AH49" s="202">
        <v>9159939.5999999996</v>
      </c>
      <c r="AI49" s="234">
        <f t="shared" si="34"/>
        <v>0</v>
      </c>
      <c r="AJ49" s="202"/>
      <c r="AK49" s="233"/>
      <c r="AL49" s="202"/>
      <c r="AM49" s="241">
        <f t="shared" si="27"/>
        <v>0</v>
      </c>
      <c r="AN49" s="202"/>
      <c r="AO49" s="233"/>
      <c r="AP49" s="202"/>
      <c r="AQ49" s="234">
        <f>AP49-AO49</f>
        <v>0</v>
      </c>
      <c r="AR49" s="202">
        <v>11801001.6</v>
      </c>
      <c r="AS49" s="233"/>
      <c r="AT49" s="202"/>
      <c r="AU49" s="234">
        <f>AT49-AS49</f>
        <v>0</v>
      </c>
      <c r="AV49" s="202"/>
      <c r="AW49" s="233"/>
      <c r="AX49" s="202"/>
      <c r="AY49" s="234">
        <f>AX49-AW49</f>
        <v>0</v>
      </c>
      <c r="AZ49" s="202"/>
      <c r="BA49" s="233"/>
      <c r="BB49" s="202"/>
      <c r="BC49" s="513"/>
      <c r="BD49" s="202">
        <v>2549559.6</v>
      </c>
      <c r="BE49" s="202"/>
      <c r="BF49" s="233"/>
      <c r="BG49" s="202"/>
      <c r="BH49" s="523">
        <f t="shared" si="26"/>
        <v>0</v>
      </c>
      <c r="BI49" s="526" t="s">
        <v>446</v>
      </c>
      <c r="BJ49" s="202"/>
      <c r="BK49" s="202"/>
      <c r="BL49" s="501">
        <f t="shared" si="23"/>
        <v>35220000</v>
      </c>
      <c r="BM49" s="158"/>
      <c r="BN49" s="1178" t="s">
        <v>656</v>
      </c>
      <c r="BO49" s="132"/>
      <c r="BQ49" s="230"/>
    </row>
    <row r="50" spans="1:69" ht="21.75" customHeight="1" x14ac:dyDescent="0.2">
      <c r="A50" s="1062"/>
      <c r="B50" s="232" t="s">
        <v>219</v>
      </c>
      <c r="C50" s="232" t="s">
        <v>87</v>
      </c>
      <c r="D50" s="232" t="s">
        <v>12</v>
      </c>
      <c r="E50" s="232" t="s">
        <v>223</v>
      </c>
      <c r="F50" s="430"/>
      <c r="G50" s="232"/>
      <c r="H50" s="202">
        <v>72190900</v>
      </c>
      <c r="I50" s="510">
        <f t="shared" si="30"/>
        <v>72190900</v>
      </c>
      <c r="J50" s="261">
        <f t="shared" si="31"/>
        <v>0</v>
      </c>
      <c r="K50" s="164">
        <f t="shared" si="32"/>
        <v>34584698</v>
      </c>
      <c r="L50" s="202"/>
      <c r="M50" s="233"/>
      <c r="N50" s="202"/>
      <c r="O50" s="234"/>
      <c r="P50" s="202"/>
      <c r="Q50" s="233"/>
      <c r="R50" s="202"/>
      <c r="S50" s="234"/>
      <c r="T50" s="202"/>
      <c r="U50" s="233"/>
      <c r="V50" s="202"/>
      <c r="W50" s="234">
        <f t="shared" si="16"/>
        <v>0</v>
      </c>
      <c r="X50" s="202">
        <v>18109796</v>
      </c>
      <c r="Y50" s="233">
        <v>18109796</v>
      </c>
      <c r="Z50" s="202">
        <v>18109796</v>
      </c>
      <c r="AA50" s="234">
        <f t="shared" si="17"/>
        <v>0</v>
      </c>
      <c r="AB50" s="202"/>
      <c r="AC50" s="233"/>
      <c r="AD50" s="202"/>
      <c r="AE50" s="234">
        <f t="shared" si="33"/>
        <v>0</v>
      </c>
      <c r="AF50" s="202">
        <f>16474462+440</f>
        <v>16474902</v>
      </c>
      <c r="AG50" s="233">
        <f>16474462+440</f>
        <v>16474902</v>
      </c>
      <c r="AH50" s="202">
        <v>16474902</v>
      </c>
      <c r="AI50" s="234">
        <f t="shared" si="34"/>
        <v>0</v>
      </c>
      <c r="AJ50" s="202"/>
      <c r="AK50" s="233"/>
      <c r="AL50" s="202"/>
      <c r="AM50" s="241">
        <f t="shared" si="27"/>
        <v>0</v>
      </c>
      <c r="AN50" s="202"/>
      <c r="AO50" s="233"/>
      <c r="AP50" s="202"/>
      <c r="AQ50" s="234">
        <f>AP50-AO50</f>
        <v>0</v>
      </c>
      <c r="AR50" s="202">
        <v>35970868</v>
      </c>
      <c r="AS50" s="233"/>
      <c r="AT50" s="202"/>
      <c r="AU50" s="234">
        <f>AT50-AS50</f>
        <v>0</v>
      </c>
      <c r="AV50" s="202"/>
      <c r="AW50" s="233"/>
      <c r="AX50" s="202"/>
      <c r="AY50" s="234">
        <f>AX50-AW50</f>
        <v>0</v>
      </c>
      <c r="AZ50" s="202"/>
      <c r="BA50" s="233"/>
      <c r="BB50" s="202"/>
      <c r="BC50" s="513"/>
      <c r="BD50" s="202">
        <v>1635334</v>
      </c>
      <c r="BE50" s="202"/>
      <c r="BF50" s="233"/>
      <c r="BG50" s="202"/>
      <c r="BH50" s="523">
        <f t="shared" si="26"/>
        <v>0</v>
      </c>
      <c r="BI50" s="526" t="s">
        <v>446</v>
      </c>
      <c r="BJ50" s="202"/>
      <c r="BK50" s="202"/>
      <c r="BL50" s="501">
        <f t="shared" si="23"/>
        <v>72190900</v>
      </c>
      <c r="BM50" s="158"/>
      <c r="BN50" s="1179"/>
      <c r="BO50" s="132"/>
      <c r="BQ50" s="230"/>
    </row>
    <row r="51" spans="1:69" ht="55.5" customHeight="1" x14ac:dyDescent="0.2">
      <c r="A51" s="583" t="s">
        <v>88</v>
      </c>
      <c r="B51" s="232" t="s">
        <v>219</v>
      </c>
      <c r="C51" s="907" t="s">
        <v>89</v>
      </c>
      <c r="D51" s="23" t="s">
        <v>12</v>
      </c>
      <c r="E51" s="23" t="s">
        <v>221</v>
      </c>
      <c r="F51" s="23" t="s">
        <v>14</v>
      </c>
      <c r="G51" s="232"/>
      <c r="H51" s="202">
        <v>47168000</v>
      </c>
      <c r="I51" s="510">
        <f t="shared" si="30"/>
        <v>47168000</v>
      </c>
      <c r="J51" s="261">
        <f t="shared" si="31"/>
        <v>0</v>
      </c>
      <c r="K51" s="164">
        <f t="shared" si="32"/>
        <v>46680000</v>
      </c>
      <c r="L51" s="202"/>
      <c r="M51" s="233"/>
      <c r="N51" s="202"/>
      <c r="O51" s="234"/>
      <c r="P51" s="202"/>
      <c r="Q51" s="512"/>
      <c r="R51" s="202"/>
      <c r="S51" s="241"/>
      <c r="T51" s="202"/>
      <c r="U51" s="233"/>
      <c r="V51" s="202"/>
      <c r="W51" s="234">
        <f t="shared" si="16"/>
        <v>0</v>
      </c>
      <c r="X51" s="202">
        <v>46680000</v>
      </c>
      <c r="Y51" s="233">
        <v>46680000</v>
      </c>
      <c r="Z51" s="202">
        <v>46680000</v>
      </c>
      <c r="AA51" s="234">
        <f t="shared" si="17"/>
        <v>0</v>
      </c>
      <c r="AB51" s="202"/>
      <c r="AC51" s="233"/>
      <c r="AD51" s="522"/>
      <c r="AE51" s="234">
        <f t="shared" si="33"/>
        <v>0</v>
      </c>
      <c r="AF51" s="202"/>
      <c r="AG51" s="233"/>
      <c r="AH51" s="202"/>
      <c r="AI51" s="234">
        <f t="shared" si="34"/>
        <v>0</v>
      </c>
      <c r="AJ51" s="202"/>
      <c r="AK51" s="233"/>
      <c r="AL51" s="202"/>
      <c r="AM51" s="241">
        <f t="shared" si="27"/>
        <v>0</v>
      </c>
      <c r="AN51" s="202"/>
      <c r="AO51" s="233"/>
      <c r="AP51" s="202"/>
      <c r="AQ51" s="234">
        <f t="shared" ref="AQ51:AQ76" si="35">AP51-AO51</f>
        <v>0</v>
      </c>
      <c r="AR51" s="202"/>
      <c r="AS51" s="233"/>
      <c r="AT51" s="202"/>
      <c r="AU51" s="234">
        <f>AT51-AS51</f>
        <v>0</v>
      </c>
      <c r="AV51" s="202"/>
      <c r="AW51" s="233"/>
      <c r="AX51" s="202"/>
      <c r="AY51" s="234">
        <f>AX51-AW51</f>
        <v>0</v>
      </c>
      <c r="AZ51" s="202"/>
      <c r="BA51" s="233"/>
      <c r="BB51" s="202"/>
      <c r="BC51" s="513"/>
      <c r="BD51" s="202">
        <v>488000</v>
      </c>
      <c r="BE51" s="202"/>
      <c r="BF51" s="233"/>
      <c r="BG51" s="236"/>
      <c r="BH51" s="523">
        <f t="shared" si="26"/>
        <v>0</v>
      </c>
      <c r="BI51" s="526"/>
      <c r="BJ51" s="202"/>
      <c r="BK51" s="202"/>
      <c r="BL51" s="501">
        <f t="shared" si="23"/>
        <v>47168000</v>
      </c>
      <c r="BM51" s="158"/>
      <c r="BN51" s="627" t="s">
        <v>507</v>
      </c>
      <c r="BO51" s="132"/>
      <c r="BQ51" s="230" t="str">
        <f>IF(BJ51&gt;0,BJ51,"")</f>
        <v/>
      </c>
    </row>
    <row r="52" spans="1:69" ht="110.25" x14ac:dyDescent="0.2">
      <c r="A52" s="584" t="s">
        <v>90</v>
      </c>
      <c r="B52" s="232" t="s">
        <v>219</v>
      </c>
      <c r="C52" s="907" t="s">
        <v>91</v>
      </c>
      <c r="D52" s="23" t="s">
        <v>227</v>
      </c>
      <c r="E52" s="23" t="s">
        <v>228</v>
      </c>
      <c r="F52" s="23" t="s">
        <v>14</v>
      </c>
      <c r="G52" s="232"/>
      <c r="H52" s="25">
        <f>50000000+25000000</f>
        <v>75000000</v>
      </c>
      <c r="I52" s="635">
        <f t="shared" si="30"/>
        <v>75000000</v>
      </c>
      <c r="J52" s="743">
        <f t="shared" si="31"/>
        <v>0</v>
      </c>
      <c r="K52" s="627">
        <f t="shared" si="32"/>
        <v>75000000</v>
      </c>
      <c r="L52" s="25"/>
      <c r="M52" s="910"/>
      <c r="N52" s="25"/>
      <c r="O52" s="632"/>
      <c r="P52" s="25"/>
      <c r="Q52" s="910"/>
      <c r="R52" s="25"/>
      <c r="S52" s="629"/>
      <c r="T52" s="25"/>
      <c r="U52" s="910"/>
      <c r="V52" s="25"/>
      <c r="W52" s="632">
        <f t="shared" si="16"/>
        <v>0</v>
      </c>
      <c r="X52" s="25"/>
      <c r="Y52" s="910"/>
      <c r="Z52" s="25"/>
      <c r="AA52" s="632">
        <f t="shared" si="17"/>
        <v>0</v>
      </c>
      <c r="AB52" s="25"/>
      <c r="AC52" s="910"/>
      <c r="AD52" s="937"/>
      <c r="AE52" s="632">
        <f t="shared" si="33"/>
        <v>0</v>
      </c>
      <c r="AF52" s="25">
        <v>75000000</v>
      </c>
      <c r="AG52" s="910">
        <v>75000000</v>
      </c>
      <c r="AH52" s="25">
        <v>75000000</v>
      </c>
      <c r="AI52" s="632">
        <f t="shared" si="34"/>
        <v>0</v>
      </c>
      <c r="AJ52" s="25"/>
      <c r="AK52" s="910"/>
      <c r="AL52" s="25"/>
      <c r="AM52" s="629">
        <f t="shared" ref="AM52:AM100" si="36">AL52-AK52</f>
        <v>0</v>
      </c>
      <c r="AN52" s="25"/>
      <c r="AO52" s="910"/>
      <c r="AP52" s="25"/>
      <c r="AQ52" s="632">
        <f t="shared" si="35"/>
        <v>0</v>
      </c>
      <c r="AR52" s="25"/>
      <c r="AS52" s="910"/>
      <c r="AT52" s="25"/>
      <c r="AU52" s="632">
        <f>AT52-AS52</f>
        <v>0</v>
      </c>
      <c r="AV52" s="25"/>
      <c r="AW52" s="910"/>
      <c r="AX52" s="25"/>
      <c r="AY52" s="632">
        <f>AX52-AW52</f>
        <v>0</v>
      </c>
      <c r="AZ52" s="25"/>
      <c r="BA52" s="910"/>
      <c r="BB52" s="25"/>
      <c r="BC52" s="938"/>
      <c r="BD52" s="25"/>
      <c r="BE52" s="25"/>
      <c r="BF52" s="910"/>
      <c r="BG52" s="939"/>
      <c r="BH52" s="940">
        <f t="shared" si="26"/>
        <v>0</v>
      </c>
      <c r="BI52" s="941"/>
      <c r="BJ52" s="25"/>
      <c r="BK52" s="25"/>
      <c r="BL52" s="782">
        <f t="shared" si="23"/>
        <v>75000000</v>
      </c>
      <c r="BM52" s="942"/>
      <c r="BN52" s="627" t="s">
        <v>645</v>
      </c>
      <c r="BO52" s="132"/>
      <c r="BQ52" s="230" t="str">
        <f>IF(BJ52&gt;0,BJ52,"")</f>
        <v/>
      </c>
    </row>
    <row r="53" spans="1:69" ht="22.5" customHeight="1" x14ac:dyDescent="0.2">
      <c r="A53" s="1059" t="s">
        <v>312</v>
      </c>
      <c r="B53" s="232" t="s">
        <v>219</v>
      </c>
      <c r="C53" s="530" t="s">
        <v>92</v>
      </c>
      <c r="D53" s="232" t="s">
        <v>12</v>
      </c>
      <c r="E53" s="232" t="s">
        <v>223</v>
      </c>
      <c r="F53" s="430" t="s">
        <v>14</v>
      </c>
      <c r="G53" s="232"/>
      <c r="H53" s="202">
        <f>18872100-457800</f>
        <v>18414300</v>
      </c>
      <c r="I53" s="510">
        <f t="shared" si="30"/>
        <v>18414300</v>
      </c>
      <c r="J53" s="261">
        <f t="shared" si="31"/>
        <v>0</v>
      </c>
      <c r="K53" s="164">
        <f t="shared" si="32"/>
        <v>0</v>
      </c>
      <c r="L53" s="202"/>
      <c r="M53" s="233"/>
      <c r="N53" s="202"/>
      <c r="O53" s="234"/>
      <c r="P53" s="202"/>
      <c r="Q53" s="512"/>
      <c r="R53" s="202"/>
      <c r="S53" s="241"/>
      <c r="T53" s="202"/>
      <c r="U53" s="233"/>
      <c r="V53" s="202"/>
      <c r="W53" s="234">
        <f t="shared" si="16"/>
        <v>0</v>
      </c>
      <c r="X53" s="202"/>
      <c r="Y53" s="233"/>
      <c r="Z53" s="202"/>
      <c r="AA53" s="234">
        <f t="shared" si="17"/>
        <v>0</v>
      </c>
      <c r="AB53" s="202"/>
      <c r="AC53" s="233"/>
      <c r="AD53" s="522"/>
      <c r="AE53" s="234">
        <f t="shared" si="33"/>
        <v>0</v>
      </c>
      <c r="AF53" s="202"/>
      <c r="AG53" s="233"/>
      <c r="AH53" s="202"/>
      <c r="AI53" s="234">
        <f t="shared" si="34"/>
        <v>0</v>
      </c>
      <c r="AJ53" s="202"/>
      <c r="AK53" s="233"/>
      <c r="AL53" s="202"/>
      <c r="AM53" s="241">
        <f t="shared" si="36"/>
        <v>0</v>
      </c>
      <c r="AN53" s="202"/>
      <c r="AO53" s="233"/>
      <c r="AP53" s="202"/>
      <c r="AQ53" s="234">
        <f t="shared" si="35"/>
        <v>0</v>
      </c>
      <c r="AR53" s="202">
        <v>18414300</v>
      </c>
      <c r="AS53" s="233"/>
      <c r="AT53" s="202"/>
      <c r="AU53" s="234">
        <f t="shared" ref="AU53:AU72" si="37">AT53-AS53</f>
        <v>0</v>
      </c>
      <c r="AV53" s="202"/>
      <c r="AW53" s="233"/>
      <c r="AX53" s="202"/>
      <c r="AY53" s="234">
        <f t="shared" ref="AY53:AY73" si="38">AX53-AW53</f>
        <v>0</v>
      </c>
      <c r="AZ53" s="202"/>
      <c r="BA53" s="233"/>
      <c r="BB53" s="202"/>
      <c r="BC53" s="513">
        <f t="shared" ref="BC53:BC62" si="39">BB53-BA53</f>
        <v>0</v>
      </c>
      <c r="BD53" s="202"/>
      <c r="BE53" s="202"/>
      <c r="BF53" s="233"/>
      <c r="BG53" s="236"/>
      <c r="BH53" s="234"/>
      <c r="BI53" s="526"/>
      <c r="BJ53" s="202"/>
      <c r="BK53" s="202"/>
      <c r="BL53" s="501">
        <f t="shared" ref="BL53:BL77" si="40">H53+BJ53+BK53</f>
        <v>18414300</v>
      </c>
      <c r="BM53" s="239"/>
      <c r="BN53" s="164"/>
      <c r="BO53" s="132"/>
      <c r="BQ53" s="230" t="str">
        <f>IF(BJ53&gt;0,BJ53,"")</f>
        <v/>
      </c>
    </row>
    <row r="54" spans="1:69" ht="22.5" customHeight="1" x14ac:dyDescent="0.2">
      <c r="A54" s="1060"/>
      <c r="B54" s="232" t="s">
        <v>219</v>
      </c>
      <c r="C54" s="530" t="s">
        <v>92</v>
      </c>
      <c r="D54" s="232" t="s">
        <v>12</v>
      </c>
      <c r="E54" s="232" t="s">
        <v>326</v>
      </c>
      <c r="F54" s="430" t="s">
        <v>14</v>
      </c>
      <c r="G54" s="242"/>
      <c r="H54" s="202">
        <v>10600000</v>
      </c>
      <c r="I54" s="510">
        <f t="shared" si="30"/>
        <v>10600000</v>
      </c>
      <c r="J54" s="261">
        <f t="shared" si="31"/>
        <v>0</v>
      </c>
      <c r="K54" s="164">
        <f t="shared" si="32"/>
        <v>0</v>
      </c>
      <c r="L54" s="202"/>
      <c r="M54" s="233"/>
      <c r="N54" s="202"/>
      <c r="O54" s="234"/>
      <c r="P54" s="202"/>
      <c r="Q54" s="512"/>
      <c r="R54" s="202"/>
      <c r="S54" s="241"/>
      <c r="T54" s="202"/>
      <c r="U54" s="233"/>
      <c r="V54" s="202"/>
      <c r="W54" s="234">
        <f t="shared" si="16"/>
        <v>0</v>
      </c>
      <c r="X54" s="202"/>
      <c r="Y54" s="233"/>
      <c r="Z54" s="202"/>
      <c r="AA54" s="234">
        <f t="shared" si="17"/>
        <v>0</v>
      </c>
      <c r="AB54" s="202"/>
      <c r="AC54" s="233"/>
      <c r="AD54" s="522"/>
      <c r="AE54" s="234">
        <f t="shared" si="33"/>
        <v>0</v>
      </c>
      <c r="AF54" s="202"/>
      <c r="AG54" s="233"/>
      <c r="AH54" s="202"/>
      <c r="AI54" s="234">
        <f t="shared" si="34"/>
        <v>0</v>
      </c>
      <c r="AJ54" s="202"/>
      <c r="AK54" s="233"/>
      <c r="AL54" s="202"/>
      <c r="AM54" s="241">
        <f t="shared" si="36"/>
        <v>0</v>
      </c>
      <c r="AN54" s="202"/>
      <c r="AO54" s="233"/>
      <c r="AP54" s="202"/>
      <c r="AQ54" s="234"/>
      <c r="AR54" s="202">
        <v>10600000</v>
      </c>
      <c r="AS54" s="233"/>
      <c r="AT54" s="202"/>
      <c r="AU54" s="234">
        <f t="shared" si="37"/>
        <v>0</v>
      </c>
      <c r="AV54" s="202"/>
      <c r="AW54" s="233"/>
      <c r="AX54" s="202"/>
      <c r="AY54" s="234">
        <f t="shared" si="38"/>
        <v>0</v>
      </c>
      <c r="AZ54" s="202"/>
      <c r="BA54" s="233"/>
      <c r="BB54" s="202"/>
      <c r="BC54" s="513">
        <f t="shared" si="39"/>
        <v>0</v>
      </c>
      <c r="BD54" s="202"/>
      <c r="BE54" s="517"/>
      <c r="BF54" s="233"/>
      <c r="BG54" s="236"/>
      <c r="BH54" s="234"/>
      <c r="BI54" s="526"/>
      <c r="BJ54" s="202"/>
      <c r="BK54" s="202"/>
      <c r="BL54" s="501">
        <f t="shared" si="40"/>
        <v>10600000</v>
      </c>
      <c r="BM54" s="239"/>
      <c r="BN54" s="164"/>
      <c r="BO54" s="132"/>
      <c r="BQ54" s="230"/>
    </row>
    <row r="55" spans="1:69" ht="24.75" customHeight="1" x14ac:dyDescent="0.2">
      <c r="A55" s="1082" t="s">
        <v>388</v>
      </c>
      <c r="B55" s="232" t="s">
        <v>219</v>
      </c>
      <c r="C55" s="532" t="s">
        <v>410</v>
      </c>
      <c r="D55" s="232" t="s">
        <v>12</v>
      </c>
      <c r="E55" s="232" t="s">
        <v>221</v>
      </c>
      <c r="F55" s="430" t="s">
        <v>14</v>
      </c>
      <c r="G55" s="242" t="s">
        <v>455</v>
      </c>
      <c r="H55" s="202">
        <f>1264775.26+314662.9</f>
        <v>1579438.1600000001</v>
      </c>
      <c r="I55" s="518">
        <f>L55+P55+T55+X55+AB55+AF55+AJ55+AN55+AR55+AV55+AZ55+BD55</f>
        <v>1579438.1600000001</v>
      </c>
      <c r="J55" s="164">
        <f t="shared" si="31"/>
        <v>0</v>
      </c>
      <c r="K55" s="164">
        <f>N55+R55+V55+Z55+AD55+AH55+AL55+AP55+AT55+AX55+BB55+BG55</f>
        <v>1579438.16</v>
      </c>
      <c r="L55" s="202"/>
      <c r="M55" s="233"/>
      <c r="N55" s="202"/>
      <c r="O55" s="234"/>
      <c r="P55" s="202"/>
      <c r="Q55" s="512"/>
      <c r="R55" s="202"/>
      <c r="S55" s="241"/>
      <c r="T55" s="202"/>
      <c r="U55" s="233"/>
      <c r="V55" s="202"/>
      <c r="W55" s="234"/>
      <c r="X55" s="202">
        <f>1264775.26+314662.9</f>
        <v>1579438.1600000001</v>
      </c>
      <c r="Y55" s="233">
        <f>1264775.26+314662.9</f>
        <v>1579438.1600000001</v>
      </c>
      <c r="Z55" s="202">
        <v>1579438.16</v>
      </c>
      <c r="AA55" s="234">
        <f t="shared" si="17"/>
        <v>0</v>
      </c>
      <c r="AB55" s="202"/>
      <c r="AC55" s="233"/>
      <c r="AD55" s="522"/>
      <c r="AE55" s="234"/>
      <c r="AF55" s="202"/>
      <c r="AG55" s="233"/>
      <c r="AH55" s="202"/>
      <c r="AI55" s="234">
        <f t="shared" si="34"/>
        <v>0</v>
      </c>
      <c r="AJ55" s="202"/>
      <c r="AK55" s="233"/>
      <c r="AL55" s="202"/>
      <c r="AM55" s="241"/>
      <c r="AN55" s="202"/>
      <c r="AO55" s="233"/>
      <c r="AP55" s="202"/>
      <c r="AQ55" s="234">
        <f>AP55-AO55</f>
        <v>0</v>
      </c>
      <c r="AR55" s="202"/>
      <c r="AS55" s="233"/>
      <c r="AT55" s="202"/>
      <c r="AU55" s="234"/>
      <c r="AV55" s="202"/>
      <c r="AW55" s="233"/>
      <c r="AX55" s="202"/>
      <c r="AY55" s="234">
        <f>AX55-AW55</f>
        <v>0</v>
      </c>
      <c r="AZ55" s="202"/>
      <c r="BA55" s="233"/>
      <c r="BB55" s="202"/>
      <c r="BC55" s="513">
        <f>BB55-BA55</f>
        <v>0</v>
      </c>
      <c r="BD55" s="202"/>
      <c r="BE55" s="202"/>
      <c r="BF55" s="233"/>
      <c r="BG55" s="236"/>
      <c r="BH55" s="513">
        <f>BG55-BF55</f>
        <v>0</v>
      </c>
      <c r="BI55" s="526"/>
      <c r="BJ55" s="202"/>
      <c r="BK55" s="202"/>
      <c r="BL55" s="501">
        <f>H55+BJ55+BK55</f>
        <v>1579438.1600000001</v>
      </c>
      <c r="BM55" s="158"/>
      <c r="BN55" s="1080" t="s">
        <v>528</v>
      </c>
      <c r="BO55" s="132"/>
      <c r="BQ55" s="230"/>
    </row>
    <row r="56" spans="1:69" ht="24.75" customHeight="1" x14ac:dyDescent="0.2">
      <c r="A56" s="1083"/>
      <c r="B56" s="232" t="s">
        <v>219</v>
      </c>
      <c r="C56" s="532" t="s">
        <v>410</v>
      </c>
      <c r="D56" s="232" t="s">
        <v>12</v>
      </c>
      <c r="E56" s="232" t="s">
        <v>231</v>
      </c>
      <c r="F56" s="430" t="s">
        <v>14</v>
      </c>
      <c r="G56" s="242" t="s">
        <v>455</v>
      </c>
      <c r="H56" s="202">
        <f>541424.74-314662.9</f>
        <v>226761.83999999997</v>
      </c>
      <c r="I56" s="518">
        <f>L56+P56+T56+X56+AB56+AF56+AJ56+AN56+AR56+AV56+AZ56+BD56</f>
        <v>226761.84</v>
      </c>
      <c r="J56" s="164">
        <f t="shared" si="31"/>
        <v>0</v>
      </c>
      <c r="K56" s="164">
        <f>N56+R56+V56+Z56+AD56+AH56+AL56+AP56+AT56+AX56+BB56+BG56</f>
        <v>226758.69</v>
      </c>
      <c r="L56" s="202"/>
      <c r="M56" s="233"/>
      <c r="N56" s="202"/>
      <c r="O56" s="234"/>
      <c r="P56" s="202"/>
      <c r="Q56" s="512"/>
      <c r="R56" s="202"/>
      <c r="S56" s="241"/>
      <c r="T56" s="202"/>
      <c r="U56" s="233"/>
      <c r="V56" s="202"/>
      <c r="W56" s="234"/>
      <c r="X56" s="202">
        <f>541424.74-314666.05</f>
        <v>226758.69</v>
      </c>
      <c r="Y56" s="233">
        <f>541424.74-314666.05</f>
        <v>226758.69</v>
      </c>
      <c r="Z56" s="202">
        <v>226758.69</v>
      </c>
      <c r="AA56" s="234">
        <f t="shared" si="17"/>
        <v>0</v>
      </c>
      <c r="AB56" s="202"/>
      <c r="AC56" s="233"/>
      <c r="AD56" s="522"/>
      <c r="AE56" s="234"/>
      <c r="AF56" s="202"/>
      <c r="AG56" s="233"/>
      <c r="AH56" s="202"/>
      <c r="AI56" s="234">
        <f t="shared" si="34"/>
        <v>0</v>
      </c>
      <c r="AJ56" s="202"/>
      <c r="AK56" s="233"/>
      <c r="AL56" s="202"/>
      <c r="AM56" s="241"/>
      <c r="AN56" s="202"/>
      <c r="AO56" s="233"/>
      <c r="AP56" s="202"/>
      <c r="AQ56" s="234">
        <f>AP56-AO56</f>
        <v>0</v>
      </c>
      <c r="AR56" s="202"/>
      <c r="AS56" s="233"/>
      <c r="AT56" s="202"/>
      <c r="AU56" s="234"/>
      <c r="AV56" s="202"/>
      <c r="AW56" s="233"/>
      <c r="AX56" s="202"/>
      <c r="AY56" s="234">
        <f>AX56-AW56</f>
        <v>0</v>
      </c>
      <c r="AZ56" s="202"/>
      <c r="BA56" s="233"/>
      <c r="BB56" s="202"/>
      <c r="BC56" s="513">
        <f>BB56-BA56</f>
        <v>0</v>
      </c>
      <c r="BD56" s="202">
        <v>3.15</v>
      </c>
      <c r="BE56" s="202"/>
      <c r="BF56" s="233"/>
      <c r="BG56" s="236"/>
      <c r="BH56" s="513">
        <f>BG56-BF56</f>
        <v>0</v>
      </c>
      <c r="BI56" s="526"/>
      <c r="BJ56" s="202"/>
      <c r="BK56" s="202"/>
      <c r="BL56" s="501">
        <f>H56+BJ56+BK56</f>
        <v>226761.83999999997</v>
      </c>
      <c r="BM56" s="158"/>
      <c r="BN56" s="1090"/>
      <c r="BO56" s="132"/>
      <c r="BQ56" s="230"/>
    </row>
    <row r="57" spans="1:69" ht="24.75" customHeight="1" x14ac:dyDescent="0.2">
      <c r="A57" s="1083"/>
      <c r="B57" s="533" t="s">
        <v>219</v>
      </c>
      <c r="C57" s="534" t="s">
        <v>410</v>
      </c>
      <c r="D57" s="533" t="s">
        <v>12</v>
      </c>
      <c r="E57" s="533" t="s">
        <v>221</v>
      </c>
      <c r="F57" s="535" t="s">
        <v>16</v>
      </c>
      <c r="G57" s="536" t="s">
        <v>455</v>
      </c>
      <c r="H57" s="537">
        <f>125210300+31151018.6</f>
        <v>156361318.59999999</v>
      </c>
      <c r="I57" s="518">
        <f>L57+P57+T57+X57+AB57+AF57+AJ57+AN57+AR57+AV57+AZ57+BD57</f>
        <v>156361318.59999999</v>
      </c>
      <c r="J57" s="164">
        <f t="shared" si="31"/>
        <v>0</v>
      </c>
      <c r="K57" s="164">
        <f>N57+R57+V57+Z57+AD57+AH57+AL57+AP57+AT57+AX57+BB57+BG57</f>
        <v>156361318.59999999</v>
      </c>
      <c r="L57" s="202"/>
      <c r="M57" s="233"/>
      <c r="N57" s="202"/>
      <c r="O57" s="234"/>
      <c r="P57" s="202"/>
      <c r="Q57" s="512"/>
      <c r="R57" s="202"/>
      <c r="S57" s="241"/>
      <c r="T57" s="202"/>
      <c r="U57" s="233"/>
      <c r="V57" s="202"/>
      <c r="W57" s="234"/>
      <c r="X57" s="202">
        <f>125210300+31151018.6</f>
        <v>156361318.59999999</v>
      </c>
      <c r="Y57" s="233">
        <f>125210300+31151018.6</f>
        <v>156361318.59999999</v>
      </c>
      <c r="Z57" s="202">
        <v>156361318.59999999</v>
      </c>
      <c r="AA57" s="234">
        <f t="shared" si="17"/>
        <v>0</v>
      </c>
      <c r="AB57" s="202"/>
      <c r="AC57" s="233"/>
      <c r="AD57" s="522"/>
      <c r="AE57" s="234"/>
      <c r="AF57" s="202"/>
      <c r="AG57" s="233"/>
      <c r="AH57" s="202"/>
      <c r="AI57" s="234">
        <f t="shared" si="34"/>
        <v>0</v>
      </c>
      <c r="AJ57" s="202"/>
      <c r="AK57" s="233"/>
      <c r="AL57" s="202"/>
      <c r="AM57" s="241"/>
      <c r="AN57" s="202"/>
      <c r="AO57" s="233"/>
      <c r="AP57" s="202"/>
      <c r="AQ57" s="234">
        <f>AP57-AO57</f>
        <v>0</v>
      </c>
      <c r="AR57" s="202"/>
      <c r="AS57" s="233"/>
      <c r="AT57" s="202"/>
      <c r="AU57" s="234"/>
      <c r="AV57" s="202"/>
      <c r="AW57" s="233"/>
      <c r="AX57" s="202"/>
      <c r="AY57" s="234">
        <f>AX57-AW57</f>
        <v>0</v>
      </c>
      <c r="AZ57" s="202"/>
      <c r="BA57" s="233"/>
      <c r="BB57" s="202"/>
      <c r="BC57" s="513">
        <f>BB57-BA57</f>
        <v>0</v>
      </c>
      <c r="BD57" s="202"/>
      <c r="BE57" s="202"/>
      <c r="BF57" s="233"/>
      <c r="BG57" s="236"/>
      <c r="BH57" s="513">
        <f>BG57-BF57</f>
        <v>0</v>
      </c>
      <c r="BI57" s="526"/>
      <c r="BJ57" s="202"/>
      <c r="BK57" s="202"/>
      <c r="BL57" s="501">
        <f>H57+BJ57+BK57</f>
        <v>156361318.59999999</v>
      </c>
      <c r="BM57" s="158"/>
      <c r="BN57" s="1090"/>
      <c r="BO57" s="132"/>
      <c r="BQ57" s="230"/>
    </row>
    <row r="58" spans="1:69" ht="24.75" customHeight="1" x14ac:dyDescent="0.2">
      <c r="A58" s="1083"/>
      <c r="B58" s="533" t="s">
        <v>219</v>
      </c>
      <c r="C58" s="534" t="s">
        <v>410</v>
      </c>
      <c r="D58" s="533" t="s">
        <v>12</v>
      </c>
      <c r="E58" s="533" t="s">
        <v>231</v>
      </c>
      <c r="F58" s="535" t="s">
        <v>16</v>
      </c>
      <c r="G58" s="536" t="s">
        <v>455</v>
      </c>
      <c r="H58" s="537">
        <f>53600000-31151018.6</f>
        <v>22448981.399999999</v>
      </c>
      <c r="I58" s="518">
        <f>L58+P58+T58+X58+AB58+AF58+AJ58+AN58+AR58+AV58+AZ58+BD58</f>
        <v>22448981.400000002</v>
      </c>
      <c r="J58" s="164">
        <f t="shared" si="31"/>
        <v>0</v>
      </c>
      <c r="K58" s="164">
        <f>N58+R58+V58+Z58+AD58+AH58+AL58+AP58+AT58+AX58+BB58+BG58</f>
        <v>22448669.640000001</v>
      </c>
      <c r="L58" s="202"/>
      <c r="M58" s="233"/>
      <c r="N58" s="202"/>
      <c r="O58" s="234"/>
      <c r="P58" s="202"/>
      <c r="Q58" s="512"/>
      <c r="R58" s="202"/>
      <c r="S58" s="241"/>
      <c r="T58" s="202"/>
      <c r="U58" s="233"/>
      <c r="V58" s="202"/>
      <c r="W58" s="234"/>
      <c r="X58" s="202">
        <f>53600000-31151330.36</f>
        <v>22448669.640000001</v>
      </c>
      <c r="Y58" s="233">
        <f>53600000-31151330.36</f>
        <v>22448669.640000001</v>
      </c>
      <c r="Z58" s="202">
        <v>22448669.640000001</v>
      </c>
      <c r="AA58" s="234">
        <f t="shared" si="17"/>
        <v>0</v>
      </c>
      <c r="AB58" s="202"/>
      <c r="AC58" s="233"/>
      <c r="AD58" s="522"/>
      <c r="AE58" s="234"/>
      <c r="AF58" s="202"/>
      <c r="AG58" s="233"/>
      <c r="AH58" s="202"/>
      <c r="AI58" s="234">
        <f t="shared" si="34"/>
        <v>0</v>
      </c>
      <c r="AJ58" s="202"/>
      <c r="AK58" s="233"/>
      <c r="AL58" s="202"/>
      <c r="AM58" s="241"/>
      <c r="AN58" s="202"/>
      <c r="AO58" s="233"/>
      <c r="AP58" s="202"/>
      <c r="AQ58" s="234">
        <f>AP58-AO58</f>
        <v>0</v>
      </c>
      <c r="AR58" s="202"/>
      <c r="AS58" s="233"/>
      <c r="AT58" s="202"/>
      <c r="AU58" s="234"/>
      <c r="AV58" s="202"/>
      <c r="AW58" s="233"/>
      <c r="AX58" s="202"/>
      <c r="AY58" s="234">
        <f>AX58-AW58</f>
        <v>0</v>
      </c>
      <c r="AZ58" s="202"/>
      <c r="BA58" s="233"/>
      <c r="BB58" s="202"/>
      <c r="BC58" s="513">
        <f>BB58-BA58</f>
        <v>0</v>
      </c>
      <c r="BD58" s="202">
        <v>311.76</v>
      </c>
      <c r="BE58" s="202"/>
      <c r="BF58" s="233"/>
      <c r="BG58" s="236"/>
      <c r="BH58" s="513">
        <f>BG58-BF58</f>
        <v>0</v>
      </c>
      <c r="BI58" s="526"/>
      <c r="BJ58" s="202"/>
      <c r="BK58" s="202"/>
      <c r="BL58" s="501">
        <f>H58+BJ58+BK58</f>
        <v>22448981.399999999</v>
      </c>
      <c r="BM58" s="158"/>
      <c r="BN58" s="1081"/>
      <c r="BO58" s="132"/>
      <c r="BQ58" s="230"/>
    </row>
    <row r="59" spans="1:69" ht="19.5" x14ac:dyDescent="0.2">
      <c r="A59" s="1059" t="s">
        <v>93</v>
      </c>
      <c r="B59" s="232" t="s">
        <v>219</v>
      </c>
      <c r="C59" s="532" t="s">
        <v>32</v>
      </c>
      <c r="D59" s="232" t="s">
        <v>12</v>
      </c>
      <c r="E59" s="232" t="s">
        <v>223</v>
      </c>
      <c r="F59" s="430" t="s">
        <v>14</v>
      </c>
      <c r="G59" s="242" t="s">
        <v>448</v>
      </c>
      <c r="H59" s="202">
        <f>49916801.41-4281380.02</f>
        <v>45635421.390000001</v>
      </c>
      <c r="I59" s="510">
        <f t="shared" si="30"/>
        <v>45635421.390000001</v>
      </c>
      <c r="J59" s="261">
        <f t="shared" ref="J59:J65" si="41">H59-I59</f>
        <v>0</v>
      </c>
      <c r="K59" s="164">
        <f t="shared" si="32"/>
        <v>45635366.329999998</v>
      </c>
      <c r="L59" s="202"/>
      <c r="M59" s="233"/>
      <c r="N59" s="202"/>
      <c r="O59" s="234"/>
      <c r="P59" s="202"/>
      <c r="Q59" s="512"/>
      <c r="R59" s="202"/>
      <c r="S59" s="241"/>
      <c r="T59" s="202"/>
      <c r="U59" s="233"/>
      <c r="V59" s="202"/>
      <c r="W59" s="234">
        <f t="shared" si="16"/>
        <v>0</v>
      </c>
      <c r="X59" s="202">
        <f>49916801.41-4281435.08</f>
        <v>45635366.329999998</v>
      </c>
      <c r="Y59" s="233">
        <f>49916801.41-4281435.08</f>
        <v>45635366.329999998</v>
      </c>
      <c r="Z59" s="202">
        <v>45635366.329999998</v>
      </c>
      <c r="AA59" s="234">
        <f t="shared" si="17"/>
        <v>0</v>
      </c>
      <c r="AB59" s="202"/>
      <c r="AC59" s="233"/>
      <c r="AD59" s="522"/>
      <c r="AE59" s="234">
        <f t="shared" si="33"/>
        <v>0</v>
      </c>
      <c r="AF59" s="202"/>
      <c r="AG59" s="233"/>
      <c r="AH59" s="202"/>
      <c r="AI59" s="234">
        <f t="shared" si="34"/>
        <v>0</v>
      </c>
      <c r="AJ59" s="202"/>
      <c r="AK59" s="233"/>
      <c r="AL59" s="202"/>
      <c r="AM59" s="241">
        <f t="shared" si="36"/>
        <v>0</v>
      </c>
      <c r="AN59" s="202"/>
      <c r="AO59" s="233"/>
      <c r="AP59" s="202"/>
      <c r="AQ59" s="234">
        <f t="shared" si="35"/>
        <v>0</v>
      </c>
      <c r="AR59" s="202"/>
      <c r="AS59" s="233"/>
      <c r="AT59" s="202"/>
      <c r="AU59" s="234">
        <f t="shared" si="37"/>
        <v>0</v>
      </c>
      <c r="AV59" s="202"/>
      <c r="AW59" s="233"/>
      <c r="AX59" s="202"/>
      <c r="AY59" s="234">
        <f t="shared" si="38"/>
        <v>0</v>
      </c>
      <c r="AZ59" s="202"/>
      <c r="BA59" s="233"/>
      <c r="BB59" s="202"/>
      <c r="BC59" s="513">
        <f t="shared" si="39"/>
        <v>0</v>
      </c>
      <c r="BD59" s="202">
        <v>55.06</v>
      </c>
      <c r="BE59" s="202"/>
      <c r="BF59" s="233"/>
      <c r="BG59" s="236"/>
      <c r="BH59" s="234"/>
      <c r="BI59" s="526"/>
      <c r="BJ59" s="202"/>
      <c r="BK59" s="202"/>
      <c r="BL59" s="501">
        <f t="shared" si="40"/>
        <v>45635421.390000001</v>
      </c>
      <c r="BM59" s="158"/>
      <c r="BN59" s="1080" t="s">
        <v>533</v>
      </c>
      <c r="BO59" s="132"/>
      <c r="BQ59" s="230" t="str">
        <f>IF(BJ59&gt;0,BJ59,"")</f>
        <v/>
      </c>
    </row>
    <row r="60" spans="1:69" ht="19.5" x14ac:dyDescent="0.2">
      <c r="A60" s="1091"/>
      <c r="B60" s="232" t="s">
        <v>219</v>
      </c>
      <c r="C60" s="532" t="s">
        <v>32</v>
      </c>
      <c r="D60" s="232" t="s">
        <v>12</v>
      </c>
      <c r="E60" s="232" t="s">
        <v>326</v>
      </c>
      <c r="F60" s="430" t="s">
        <v>14</v>
      </c>
      <c r="G60" s="242" t="s">
        <v>448</v>
      </c>
      <c r="H60" s="202">
        <f>9631267.6+4281380.02</f>
        <v>13912647.619999999</v>
      </c>
      <c r="I60" s="510">
        <f t="shared" si="30"/>
        <v>13912647.619999999</v>
      </c>
      <c r="J60" s="261">
        <f t="shared" si="41"/>
        <v>0</v>
      </c>
      <c r="K60" s="164">
        <f t="shared" si="32"/>
        <v>13912647.619999999</v>
      </c>
      <c r="L60" s="202"/>
      <c r="M60" s="233"/>
      <c r="N60" s="202"/>
      <c r="O60" s="234"/>
      <c r="P60" s="202"/>
      <c r="Q60" s="512"/>
      <c r="R60" s="202"/>
      <c r="S60" s="241"/>
      <c r="T60" s="202"/>
      <c r="U60" s="233"/>
      <c r="V60" s="202"/>
      <c r="W60" s="234">
        <f t="shared" si="16"/>
        <v>0</v>
      </c>
      <c r="X60" s="202">
        <f>9631267.6+4281380.02</f>
        <v>13912647.619999999</v>
      </c>
      <c r="Y60" s="233">
        <f>9631267.6+4281380.02</f>
        <v>13912647.619999999</v>
      </c>
      <c r="Z60" s="202">
        <v>13912647.619999999</v>
      </c>
      <c r="AA60" s="234">
        <f t="shared" si="17"/>
        <v>0</v>
      </c>
      <c r="AB60" s="202"/>
      <c r="AC60" s="233"/>
      <c r="AD60" s="522"/>
      <c r="AE60" s="234">
        <f t="shared" si="33"/>
        <v>0</v>
      </c>
      <c r="AF60" s="202"/>
      <c r="AG60" s="233"/>
      <c r="AH60" s="202"/>
      <c r="AI60" s="234">
        <f t="shared" si="34"/>
        <v>0</v>
      </c>
      <c r="AJ60" s="202"/>
      <c r="AK60" s="233"/>
      <c r="AL60" s="202"/>
      <c r="AM60" s="241">
        <f t="shared" si="36"/>
        <v>0</v>
      </c>
      <c r="AN60" s="202"/>
      <c r="AO60" s="233"/>
      <c r="AP60" s="202"/>
      <c r="AQ60" s="234">
        <f t="shared" si="35"/>
        <v>0</v>
      </c>
      <c r="AR60" s="202"/>
      <c r="AS60" s="233"/>
      <c r="AT60" s="202"/>
      <c r="AU60" s="234">
        <f t="shared" si="37"/>
        <v>0</v>
      </c>
      <c r="AV60" s="202"/>
      <c r="AW60" s="233"/>
      <c r="AX60" s="202"/>
      <c r="AY60" s="234">
        <f t="shared" si="38"/>
        <v>0</v>
      </c>
      <c r="AZ60" s="202"/>
      <c r="BA60" s="233"/>
      <c r="BB60" s="202"/>
      <c r="BC60" s="513">
        <f t="shared" si="39"/>
        <v>0</v>
      </c>
      <c r="BD60" s="202"/>
      <c r="BE60" s="202"/>
      <c r="BF60" s="233"/>
      <c r="BG60" s="236"/>
      <c r="BH60" s="234"/>
      <c r="BI60" s="526"/>
      <c r="BJ60" s="202"/>
      <c r="BK60" s="202"/>
      <c r="BL60" s="501">
        <f t="shared" si="40"/>
        <v>13912647.619999999</v>
      </c>
      <c r="BM60" s="158"/>
      <c r="BN60" s="1090"/>
      <c r="BO60" s="132"/>
      <c r="BQ60" s="230"/>
    </row>
    <row r="61" spans="1:69" ht="19.5" x14ac:dyDescent="0.2">
      <c r="A61" s="1091"/>
      <c r="B61" s="533" t="s">
        <v>219</v>
      </c>
      <c r="C61" s="534" t="s">
        <v>32</v>
      </c>
      <c r="D61" s="533" t="s">
        <v>12</v>
      </c>
      <c r="E61" s="533" t="s">
        <v>223</v>
      </c>
      <c r="F61" s="535" t="s">
        <v>16</v>
      </c>
      <c r="G61" s="536" t="s">
        <v>448</v>
      </c>
      <c r="H61" s="537">
        <f>122210100-10481999.36</f>
        <v>111728100.64</v>
      </c>
      <c r="I61" s="510">
        <f t="shared" si="30"/>
        <v>111728100.64</v>
      </c>
      <c r="J61" s="261">
        <f t="shared" si="41"/>
        <v>0</v>
      </c>
      <c r="K61" s="164">
        <f t="shared" si="32"/>
        <v>111727965.83</v>
      </c>
      <c r="L61" s="202"/>
      <c r="M61" s="233"/>
      <c r="N61" s="202"/>
      <c r="O61" s="234"/>
      <c r="P61" s="202"/>
      <c r="Q61" s="512"/>
      <c r="R61" s="202"/>
      <c r="S61" s="241"/>
      <c r="T61" s="202"/>
      <c r="U61" s="233"/>
      <c r="V61" s="202"/>
      <c r="W61" s="234">
        <f t="shared" si="16"/>
        <v>0</v>
      </c>
      <c r="X61" s="202">
        <f>122210100-10482134.17</f>
        <v>111727965.83</v>
      </c>
      <c r="Y61" s="233">
        <f>122210100-10482134.17</f>
        <v>111727965.83</v>
      </c>
      <c r="Z61" s="202">
        <v>111727965.83</v>
      </c>
      <c r="AA61" s="234">
        <f t="shared" si="17"/>
        <v>0</v>
      </c>
      <c r="AB61" s="202"/>
      <c r="AC61" s="233"/>
      <c r="AD61" s="522"/>
      <c r="AE61" s="234">
        <f t="shared" si="33"/>
        <v>0</v>
      </c>
      <c r="AF61" s="202"/>
      <c r="AG61" s="233"/>
      <c r="AH61" s="202"/>
      <c r="AI61" s="234">
        <f t="shared" si="34"/>
        <v>0</v>
      </c>
      <c r="AJ61" s="202"/>
      <c r="AK61" s="233"/>
      <c r="AL61" s="202"/>
      <c r="AM61" s="241">
        <f t="shared" si="36"/>
        <v>0</v>
      </c>
      <c r="AN61" s="202"/>
      <c r="AO61" s="233"/>
      <c r="AP61" s="202"/>
      <c r="AQ61" s="234">
        <f t="shared" si="35"/>
        <v>0</v>
      </c>
      <c r="AR61" s="202"/>
      <c r="AS61" s="233"/>
      <c r="AT61" s="202"/>
      <c r="AU61" s="234">
        <f t="shared" si="37"/>
        <v>0</v>
      </c>
      <c r="AV61" s="202"/>
      <c r="AW61" s="233"/>
      <c r="AX61" s="202"/>
      <c r="AY61" s="234">
        <f t="shared" si="38"/>
        <v>0</v>
      </c>
      <c r="AZ61" s="202"/>
      <c r="BA61" s="233"/>
      <c r="BB61" s="202"/>
      <c r="BC61" s="513">
        <f t="shared" si="39"/>
        <v>0</v>
      </c>
      <c r="BD61" s="202">
        <v>134.81</v>
      </c>
      <c r="BE61" s="202"/>
      <c r="BF61" s="233"/>
      <c r="BG61" s="236"/>
      <c r="BH61" s="234"/>
      <c r="BI61" s="526"/>
      <c r="BJ61" s="202"/>
      <c r="BK61" s="202"/>
      <c r="BL61" s="501">
        <f t="shared" si="40"/>
        <v>111728100.64</v>
      </c>
      <c r="BM61" s="158"/>
      <c r="BN61" s="1090"/>
      <c r="BO61" s="132"/>
      <c r="BQ61" s="230"/>
    </row>
    <row r="62" spans="1:69" ht="19.5" x14ac:dyDescent="0.2">
      <c r="A62" s="1060"/>
      <c r="B62" s="533" t="s">
        <v>219</v>
      </c>
      <c r="C62" s="534" t="s">
        <v>32</v>
      </c>
      <c r="D62" s="533" t="s">
        <v>12</v>
      </c>
      <c r="E62" s="533" t="s">
        <v>326</v>
      </c>
      <c r="F62" s="535" t="s">
        <v>16</v>
      </c>
      <c r="G62" s="536" t="s">
        <v>448</v>
      </c>
      <c r="H62" s="537">
        <f>23580000+10481999.36</f>
        <v>34061999.359999999</v>
      </c>
      <c r="I62" s="510">
        <f t="shared" si="30"/>
        <v>34061999.359999999</v>
      </c>
      <c r="J62" s="261">
        <f t="shared" si="41"/>
        <v>0</v>
      </c>
      <c r="K62" s="164">
        <f t="shared" si="32"/>
        <v>34061999.359999999</v>
      </c>
      <c r="L62" s="202"/>
      <c r="M62" s="233"/>
      <c r="N62" s="202"/>
      <c r="O62" s="234"/>
      <c r="P62" s="202"/>
      <c r="Q62" s="512"/>
      <c r="R62" s="202"/>
      <c r="S62" s="241"/>
      <c r="T62" s="202"/>
      <c r="U62" s="233"/>
      <c r="V62" s="202"/>
      <c r="W62" s="234">
        <f t="shared" si="16"/>
        <v>0</v>
      </c>
      <c r="X62" s="202">
        <f>23580000+10481999.36</f>
        <v>34061999.359999999</v>
      </c>
      <c r="Y62" s="233">
        <f>23580000+10481999.36</f>
        <v>34061999.359999999</v>
      </c>
      <c r="Z62" s="202">
        <v>34061999.359999999</v>
      </c>
      <c r="AA62" s="234">
        <f t="shared" si="17"/>
        <v>0</v>
      </c>
      <c r="AB62" s="202"/>
      <c r="AC62" s="233"/>
      <c r="AD62" s="522"/>
      <c r="AE62" s="234">
        <f t="shared" si="33"/>
        <v>0</v>
      </c>
      <c r="AF62" s="202"/>
      <c r="AG62" s="233"/>
      <c r="AH62" s="202"/>
      <c r="AI62" s="234">
        <f t="shared" si="34"/>
        <v>0</v>
      </c>
      <c r="AJ62" s="202"/>
      <c r="AK62" s="233"/>
      <c r="AL62" s="202"/>
      <c r="AM62" s="241">
        <f t="shared" si="36"/>
        <v>0</v>
      </c>
      <c r="AN62" s="202"/>
      <c r="AO62" s="233"/>
      <c r="AP62" s="202"/>
      <c r="AQ62" s="234">
        <f t="shared" si="35"/>
        <v>0</v>
      </c>
      <c r="AR62" s="202"/>
      <c r="AS62" s="233"/>
      <c r="AT62" s="202"/>
      <c r="AU62" s="234">
        <f t="shared" si="37"/>
        <v>0</v>
      </c>
      <c r="AV62" s="202"/>
      <c r="AW62" s="233"/>
      <c r="AX62" s="202"/>
      <c r="AY62" s="234">
        <f t="shared" si="38"/>
        <v>0</v>
      </c>
      <c r="AZ62" s="202"/>
      <c r="BA62" s="233"/>
      <c r="BB62" s="202"/>
      <c r="BC62" s="513">
        <f t="shared" si="39"/>
        <v>0</v>
      </c>
      <c r="BD62" s="202"/>
      <c r="BE62" s="202"/>
      <c r="BF62" s="233"/>
      <c r="BG62" s="236"/>
      <c r="BH62" s="234"/>
      <c r="BI62" s="526"/>
      <c r="BJ62" s="202"/>
      <c r="BK62" s="202"/>
      <c r="BL62" s="501">
        <f t="shared" si="40"/>
        <v>34061999.359999999</v>
      </c>
      <c r="BM62" s="158"/>
      <c r="BN62" s="1081"/>
      <c r="BO62" s="132"/>
      <c r="BQ62" s="230"/>
    </row>
    <row r="63" spans="1:69" ht="19.5" x14ac:dyDescent="0.2">
      <c r="A63" s="1059" t="s">
        <v>414</v>
      </c>
      <c r="B63" s="232" t="s">
        <v>219</v>
      </c>
      <c r="C63" s="532" t="s">
        <v>413</v>
      </c>
      <c r="D63" s="232" t="s">
        <v>12</v>
      </c>
      <c r="E63" s="232" t="s">
        <v>221</v>
      </c>
      <c r="F63" s="430" t="s">
        <v>14</v>
      </c>
      <c r="G63" s="242" t="s">
        <v>448</v>
      </c>
      <c r="H63" s="202">
        <v>345998.59</v>
      </c>
      <c r="I63" s="510">
        <f>L63+P63+T63+X63+AB63+AF63+AJ63+AN63+AR63+AV63+AZ63+BD63</f>
        <v>345998.59</v>
      </c>
      <c r="J63" s="261">
        <f>H63-I63</f>
        <v>0</v>
      </c>
      <c r="K63" s="164"/>
      <c r="L63" s="202"/>
      <c r="M63" s="233"/>
      <c r="N63" s="202"/>
      <c r="O63" s="234"/>
      <c r="P63" s="202"/>
      <c r="Q63" s="512"/>
      <c r="R63" s="202"/>
      <c r="S63" s="241"/>
      <c r="T63" s="202"/>
      <c r="U63" s="233"/>
      <c r="V63" s="202"/>
      <c r="W63" s="234"/>
      <c r="X63" s="202"/>
      <c r="Y63" s="233"/>
      <c r="Z63" s="202"/>
      <c r="AA63" s="234">
        <f t="shared" si="17"/>
        <v>0</v>
      </c>
      <c r="AB63" s="202"/>
      <c r="AC63" s="233"/>
      <c r="AD63" s="522"/>
      <c r="AE63" s="234"/>
      <c r="AF63" s="202"/>
      <c r="AG63" s="233"/>
      <c r="AH63" s="202"/>
      <c r="AI63" s="234">
        <f t="shared" si="34"/>
        <v>0</v>
      </c>
      <c r="AJ63" s="202"/>
      <c r="AK63" s="233"/>
      <c r="AL63" s="202"/>
      <c r="AM63" s="241">
        <f t="shared" si="36"/>
        <v>0</v>
      </c>
      <c r="AN63" s="202"/>
      <c r="AO63" s="233"/>
      <c r="AP63" s="202"/>
      <c r="AQ63" s="234"/>
      <c r="AR63" s="202">
        <v>345998.59</v>
      </c>
      <c r="AS63" s="233"/>
      <c r="AT63" s="202"/>
      <c r="AU63" s="234"/>
      <c r="AV63" s="202"/>
      <c r="AW63" s="233"/>
      <c r="AX63" s="202"/>
      <c r="AY63" s="234"/>
      <c r="AZ63" s="202"/>
      <c r="BA63" s="233"/>
      <c r="BB63" s="202"/>
      <c r="BC63" s="513"/>
      <c r="BD63" s="202"/>
      <c r="BE63" s="202"/>
      <c r="BF63" s="233"/>
      <c r="BG63" s="236"/>
      <c r="BH63" s="234"/>
      <c r="BI63" s="526"/>
      <c r="BJ63" s="202"/>
      <c r="BK63" s="202"/>
      <c r="BL63" s="501">
        <f t="shared" si="40"/>
        <v>345998.59</v>
      </c>
      <c r="BM63" s="158"/>
      <c r="BN63" s="164"/>
      <c r="BO63" s="132"/>
      <c r="BQ63" s="230"/>
    </row>
    <row r="64" spans="1:69" ht="19.5" x14ac:dyDescent="0.2">
      <c r="A64" s="1060"/>
      <c r="B64" s="533" t="s">
        <v>219</v>
      </c>
      <c r="C64" s="534" t="s">
        <v>413</v>
      </c>
      <c r="D64" s="533" t="s">
        <v>12</v>
      </c>
      <c r="E64" s="533" t="s">
        <v>221</v>
      </c>
      <c r="F64" s="535" t="s">
        <v>16</v>
      </c>
      <c r="G64" s="536" t="s">
        <v>448</v>
      </c>
      <c r="H64" s="537">
        <v>847100</v>
      </c>
      <c r="I64" s="510">
        <f>L64+P64+T64+X64+AB64+AF64+AJ64+AN64+AR64+AV64+AZ64+BD64</f>
        <v>847100</v>
      </c>
      <c r="J64" s="261">
        <f>H64-I64</f>
        <v>0</v>
      </c>
      <c r="K64" s="164"/>
      <c r="L64" s="202"/>
      <c r="M64" s="233"/>
      <c r="N64" s="202"/>
      <c r="O64" s="234"/>
      <c r="P64" s="202"/>
      <c r="Q64" s="512"/>
      <c r="R64" s="202"/>
      <c r="S64" s="241"/>
      <c r="T64" s="202"/>
      <c r="U64" s="233"/>
      <c r="V64" s="202"/>
      <c r="W64" s="234"/>
      <c r="X64" s="202"/>
      <c r="Y64" s="233"/>
      <c r="Z64" s="202"/>
      <c r="AA64" s="234">
        <f t="shared" si="17"/>
        <v>0</v>
      </c>
      <c r="AB64" s="202"/>
      <c r="AC64" s="233"/>
      <c r="AD64" s="522"/>
      <c r="AE64" s="234"/>
      <c r="AF64" s="202"/>
      <c r="AG64" s="233"/>
      <c r="AH64" s="202"/>
      <c r="AI64" s="234">
        <f t="shared" si="34"/>
        <v>0</v>
      </c>
      <c r="AJ64" s="202"/>
      <c r="AK64" s="233"/>
      <c r="AL64" s="202"/>
      <c r="AM64" s="241">
        <f t="shared" si="36"/>
        <v>0</v>
      </c>
      <c r="AN64" s="202"/>
      <c r="AO64" s="233"/>
      <c r="AP64" s="202"/>
      <c r="AQ64" s="234"/>
      <c r="AR64" s="202">
        <v>847100</v>
      </c>
      <c r="AS64" s="233"/>
      <c r="AT64" s="202"/>
      <c r="AU64" s="234"/>
      <c r="AV64" s="202"/>
      <c r="AW64" s="233"/>
      <c r="AX64" s="202"/>
      <c r="AY64" s="234"/>
      <c r="AZ64" s="202"/>
      <c r="BA64" s="233"/>
      <c r="BB64" s="202"/>
      <c r="BC64" s="513"/>
      <c r="BD64" s="202"/>
      <c r="BE64" s="202"/>
      <c r="BF64" s="233"/>
      <c r="BG64" s="236"/>
      <c r="BH64" s="234"/>
      <c r="BI64" s="526"/>
      <c r="BJ64" s="202"/>
      <c r="BK64" s="202"/>
      <c r="BL64" s="501">
        <f t="shared" si="40"/>
        <v>847100</v>
      </c>
      <c r="BM64" s="158"/>
      <c r="BN64" s="164"/>
      <c r="BO64" s="132"/>
      <c r="BQ64" s="230"/>
    </row>
    <row r="65" spans="1:69" ht="27" customHeight="1" x14ac:dyDescent="0.2">
      <c r="A65" s="1082" t="s">
        <v>310</v>
      </c>
      <c r="B65" s="232" t="s">
        <v>219</v>
      </c>
      <c r="C65" s="532" t="s">
        <v>18</v>
      </c>
      <c r="D65" s="232" t="s">
        <v>12</v>
      </c>
      <c r="E65" s="232" t="s">
        <v>221</v>
      </c>
      <c r="F65" s="430" t="s">
        <v>14</v>
      </c>
      <c r="G65" s="242" t="s">
        <v>449</v>
      </c>
      <c r="H65" s="202">
        <f>38092929.58-3531558.51</f>
        <v>34561371.07</v>
      </c>
      <c r="I65" s="510">
        <f t="shared" si="30"/>
        <v>37691532.599999994</v>
      </c>
      <c r="J65" s="261">
        <f t="shared" si="41"/>
        <v>-3130161.5299999937</v>
      </c>
      <c r="K65" s="164">
        <f t="shared" si="32"/>
        <v>33349486.059999999</v>
      </c>
      <c r="L65" s="202"/>
      <c r="M65" s="233"/>
      <c r="N65" s="202"/>
      <c r="O65" s="234"/>
      <c r="P65" s="202"/>
      <c r="Q65" s="512"/>
      <c r="R65" s="202"/>
      <c r="S65" s="241"/>
      <c r="T65" s="202"/>
      <c r="U65" s="233"/>
      <c r="V65" s="202"/>
      <c r="W65" s="234">
        <f t="shared" si="16"/>
        <v>0</v>
      </c>
      <c r="X65" s="202"/>
      <c r="Y65" s="233"/>
      <c r="Z65" s="202"/>
      <c r="AA65" s="234">
        <f t="shared" si="17"/>
        <v>0</v>
      </c>
      <c r="AB65" s="202"/>
      <c r="AC65" s="233"/>
      <c r="AD65" s="522"/>
      <c r="AE65" s="234">
        <f t="shared" si="33"/>
        <v>0</v>
      </c>
      <c r="AF65" s="202">
        <f>38092929.58-3531558.59</f>
        <v>34561370.989999995</v>
      </c>
      <c r="AG65" s="233">
        <f>38092929.58-3531558.59</f>
        <v>34561370.989999995</v>
      </c>
      <c r="AH65" s="202">
        <v>30219324.449999999</v>
      </c>
      <c r="AI65" s="234">
        <f t="shared" si="34"/>
        <v>-4342046.5399999954</v>
      </c>
      <c r="AJ65" s="202">
        <v>3130161.61</v>
      </c>
      <c r="AK65" s="233">
        <v>0.08</v>
      </c>
      <c r="AL65" s="526">
        <v>3130161.61</v>
      </c>
      <c r="AM65" s="241">
        <f t="shared" si="36"/>
        <v>3130161.53</v>
      </c>
      <c r="AN65" s="202"/>
      <c r="AO65" s="233"/>
      <c r="AP65" s="202"/>
      <c r="AQ65" s="234">
        <f t="shared" si="35"/>
        <v>0</v>
      </c>
      <c r="AR65" s="202"/>
      <c r="AS65" s="233"/>
      <c r="AT65" s="202"/>
      <c r="AU65" s="234">
        <f t="shared" si="37"/>
        <v>0</v>
      </c>
      <c r="AV65" s="202"/>
      <c r="AW65" s="233"/>
      <c r="AX65" s="202"/>
      <c r="AY65" s="234">
        <f t="shared" si="38"/>
        <v>0</v>
      </c>
      <c r="AZ65" s="202"/>
      <c r="BA65" s="233"/>
      <c r="BB65" s="202"/>
      <c r="BC65" s="513">
        <f>BB65-BA65</f>
        <v>0</v>
      </c>
      <c r="BD65" s="202"/>
      <c r="BE65" s="517"/>
      <c r="BF65" s="233"/>
      <c r="BG65" s="236"/>
      <c r="BH65" s="234"/>
      <c r="BI65" s="526"/>
      <c r="BJ65" s="202"/>
      <c r="BK65" s="202"/>
      <c r="BL65" s="501">
        <f t="shared" si="40"/>
        <v>34561371.07</v>
      </c>
      <c r="BM65" s="158"/>
      <c r="BN65" s="1080" t="s">
        <v>649</v>
      </c>
      <c r="BO65" s="132"/>
      <c r="BQ65" s="230" t="str">
        <f>IF(BJ65&gt;0,BJ65,"")</f>
        <v/>
      </c>
    </row>
    <row r="66" spans="1:69" ht="27" customHeight="1" x14ac:dyDescent="0.2">
      <c r="A66" s="1083"/>
      <c r="B66" s="232" t="s">
        <v>219</v>
      </c>
      <c r="C66" s="532" t="s">
        <v>18</v>
      </c>
      <c r="D66" s="232" t="s">
        <v>12</v>
      </c>
      <c r="E66" s="232" t="s">
        <v>231</v>
      </c>
      <c r="F66" s="430" t="s">
        <v>14</v>
      </c>
      <c r="G66" s="242" t="s">
        <v>449</v>
      </c>
      <c r="H66" s="202">
        <f>7031560.56+3531558.51</f>
        <v>10563119.07</v>
      </c>
      <c r="I66" s="510">
        <f t="shared" si="30"/>
        <v>11778484.98</v>
      </c>
      <c r="J66" s="261">
        <f t="shared" ref="J66:J78" si="42">H66-I66</f>
        <v>-1215365.9100000001</v>
      </c>
      <c r="K66" s="164">
        <f t="shared" si="32"/>
        <v>11775003.91</v>
      </c>
      <c r="L66" s="202"/>
      <c r="M66" s="233"/>
      <c r="N66" s="202"/>
      <c r="O66" s="234"/>
      <c r="P66" s="202"/>
      <c r="Q66" s="512"/>
      <c r="R66" s="202"/>
      <c r="S66" s="241"/>
      <c r="T66" s="202"/>
      <c r="U66" s="233"/>
      <c r="V66" s="202"/>
      <c r="W66" s="234">
        <f t="shared" si="16"/>
        <v>0</v>
      </c>
      <c r="X66" s="202"/>
      <c r="Y66" s="233"/>
      <c r="Z66" s="202"/>
      <c r="AA66" s="234">
        <f t="shared" si="17"/>
        <v>0</v>
      </c>
      <c r="AB66" s="202"/>
      <c r="AC66" s="233"/>
      <c r="AD66" s="522"/>
      <c r="AE66" s="234">
        <f t="shared" si="33"/>
        <v>0</v>
      </c>
      <c r="AF66" s="202">
        <f>7031560.56+3531558.51</f>
        <v>10563119.07</v>
      </c>
      <c r="AG66" s="233">
        <f>7031560.56+3531558.51</f>
        <v>10563119.07</v>
      </c>
      <c r="AH66" s="202">
        <v>10559638</v>
      </c>
      <c r="AI66" s="234">
        <f t="shared" si="34"/>
        <v>-3481.070000000298</v>
      </c>
      <c r="AJ66" s="202">
        <v>1215365.9099999999</v>
      </c>
      <c r="AK66" s="233"/>
      <c r="AL66" s="526">
        <v>1215365.9099999999</v>
      </c>
      <c r="AM66" s="241">
        <f t="shared" si="36"/>
        <v>1215365.9099999999</v>
      </c>
      <c r="AN66" s="202"/>
      <c r="AO66" s="233"/>
      <c r="AP66" s="202"/>
      <c r="AQ66" s="234">
        <f t="shared" si="35"/>
        <v>0</v>
      </c>
      <c r="AR66" s="202"/>
      <c r="AS66" s="233"/>
      <c r="AT66" s="202"/>
      <c r="AU66" s="234">
        <f t="shared" si="37"/>
        <v>0</v>
      </c>
      <c r="AV66" s="202"/>
      <c r="AW66" s="233"/>
      <c r="AX66" s="202"/>
      <c r="AY66" s="234">
        <f t="shared" si="38"/>
        <v>0</v>
      </c>
      <c r="AZ66" s="202"/>
      <c r="BA66" s="233"/>
      <c r="BB66" s="202"/>
      <c r="BC66" s="513">
        <f t="shared" ref="BC66:BC120" si="43">BB66-BA66</f>
        <v>0</v>
      </c>
      <c r="BD66" s="202"/>
      <c r="BE66" s="517"/>
      <c r="BF66" s="233"/>
      <c r="BG66" s="236"/>
      <c r="BH66" s="234"/>
      <c r="BI66" s="526"/>
      <c r="BJ66" s="202"/>
      <c r="BK66" s="202"/>
      <c r="BL66" s="501">
        <f t="shared" si="40"/>
        <v>10563119.07</v>
      </c>
      <c r="BM66" s="158"/>
      <c r="BN66" s="1090"/>
      <c r="BO66" s="132"/>
      <c r="BQ66" s="230"/>
    </row>
    <row r="67" spans="1:69" ht="27" customHeight="1" x14ac:dyDescent="0.2">
      <c r="A67" s="1083"/>
      <c r="B67" s="533" t="s">
        <v>219</v>
      </c>
      <c r="C67" s="538" t="s">
        <v>18</v>
      </c>
      <c r="D67" s="533" t="s">
        <v>12</v>
      </c>
      <c r="E67" s="533" t="s">
        <v>221</v>
      </c>
      <c r="F67" s="535" t="s">
        <v>16</v>
      </c>
      <c r="G67" s="536" t="s">
        <v>449</v>
      </c>
      <c r="H67" s="537">
        <f>93262000-8646229.46</f>
        <v>84615770.539999992</v>
      </c>
      <c r="I67" s="510">
        <f t="shared" si="30"/>
        <v>92279269.469999999</v>
      </c>
      <c r="J67" s="261">
        <f t="shared" si="42"/>
        <v>-7663498.9300000072</v>
      </c>
      <c r="K67" s="164">
        <f t="shared" si="32"/>
        <v>81648741.689999998</v>
      </c>
      <c r="L67" s="202"/>
      <c r="M67" s="233"/>
      <c r="N67" s="202"/>
      <c r="O67" s="234"/>
      <c r="P67" s="202"/>
      <c r="Q67" s="512"/>
      <c r="R67" s="202"/>
      <c r="S67" s="241"/>
      <c r="T67" s="202"/>
      <c r="U67" s="233"/>
      <c r="V67" s="202"/>
      <c r="W67" s="234">
        <f t="shared" si="16"/>
        <v>0</v>
      </c>
      <c r="X67" s="202"/>
      <c r="Y67" s="233"/>
      <c r="Z67" s="202"/>
      <c r="AA67" s="234">
        <f t="shared" si="17"/>
        <v>0</v>
      </c>
      <c r="AB67" s="202"/>
      <c r="AC67" s="233"/>
      <c r="AD67" s="522"/>
      <c r="AE67" s="234">
        <f t="shared" si="33"/>
        <v>0</v>
      </c>
      <c r="AF67" s="202">
        <f>93262000-8646229.65</f>
        <v>84615770.349999994</v>
      </c>
      <c r="AG67" s="233">
        <f>93262000-8646229.65</f>
        <v>84615770.349999994</v>
      </c>
      <c r="AH67" s="202">
        <v>73985242.569999993</v>
      </c>
      <c r="AI67" s="234">
        <f t="shared" si="34"/>
        <v>-10630527.780000001</v>
      </c>
      <c r="AJ67" s="202">
        <v>7663499.1200000001</v>
      </c>
      <c r="AK67" s="233">
        <v>0.19</v>
      </c>
      <c r="AL67" s="526">
        <v>7663499.1200000001</v>
      </c>
      <c r="AM67" s="241">
        <f t="shared" si="36"/>
        <v>7663498.9299999997</v>
      </c>
      <c r="AN67" s="202"/>
      <c r="AO67" s="233"/>
      <c r="AP67" s="202"/>
      <c r="AQ67" s="234">
        <f t="shared" si="35"/>
        <v>0</v>
      </c>
      <c r="AR67" s="202"/>
      <c r="AS67" s="233"/>
      <c r="AT67" s="202"/>
      <c r="AU67" s="234">
        <f t="shared" si="37"/>
        <v>0</v>
      </c>
      <c r="AV67" s="202"/>
      <c r="AW67" s="233"/>
      <c r="AX67" s="202"/>
      <c r="AY67" s="234">
        <f t="shared" si="38"/>
        <v>0</v>
      </c>
      <c r="AZ67" s="202"/>
      <c r="BA67" s="233"/>
      <c r="BB67" s="202"/>
      <c r="BC67" s="513">
        <f t="shared" si="43"/>
        <v>0</v>
      </c>
      <c r="BD67" s="202"/>
      <c r="BE67" s="517"/>
      <c r="BF67" s="233"/>
      <c r="BG67" s="236"/>
      <c r="BH67" s="234"/>
      <c r="BI67" s="526"/>
      <c r="BJ67" s="202"/>
      <c r="BK67" s="202"/>
      <c r="BL67" s="501">
        <f t="shared" si="40"/>
        <v>84615770.539999992</v>
      </c>
      <c r="BM67" s="158"/>
      <c r="BN67" s="1090"/>
      <c r="BO67" s="132"/>
      <c r="BQ67" s="230" t="str">
        <f>IF(BJ67&gt;0,BJ67,"")</f>
        <v/>
      </c>
    </row>
    <row r="68" spans="1:69" ht="27" customHeight="1" x14ac:dyDescent="0.2">
      <c r="A68" s="1084"/>
      <c r="B68" s="533" t="s">
        <v>219</v>
      </c>
      <c r="C68" s="538" t="s">
        <v>18</v>
      </c>
      <c r="D68" s="533" t="s">
        <v>12</v>
      </c>
      <c r="E68" s="533" t="s">
        <v>231</v>
      </c>
      <c r="F68" s="535" t="s">
        <v>16</v>
      </c>
      <c r="G68" s="536" t="s">
        <v>449</v>
      </c>
      <c r="H68" s="537">
        <f>17215200+8646229.46</f>
        <v>25861429.460000001</v>
      </c>
      <c r="I68" s="510">
        <f t="shared" si="30"/>
        <v>28836980.469999999</v>
      </c>
      <c r="J68" s="261">
        <f t="shared" si="42"/>
        <v>-2975551.0099999979</v>
      </c>
      <c r="K68" s="164">
        <f>N68+R68+V68+Z68+AD68+AH68+AL68+AP68+AT68+AX68+BB68+BG68</f>
        <v>28828457.829999998</v>
      </c>
      <c r="L68" s="202"/>
      <c r="M68" s="233"/>
      <c r="N68" s="202"/>
      <c r="O68" s="234"/>
      <c r="P68" s="202"/>
      <c r="Q68" s="512"/>
      <c r="R68" s="202"/>
      <c r="S68" s="241"/>
      <c r="T68" s="202"/>
      <c r="U68" s="233"/>
      <c r="V68" s="202"/>
      <c r="W68" s="234">
        <f t="shared" si="16"/>
        <v>0</v>
      </c>
      <c r="X68" s="202"/>
      <c r="Y68" s="233"/>
      <c r="Z68" s="202"/>
      <c r="AA68" s="234">
        <f t="shared" si="17"/>
        <v>0</v>
      </c>
      <c r="AB68" s="202"/>
      <c r="AC68" s="233"/>
      <c r="AD68" s="522"/>
      <c r="AE68" s="234">
        <f t="shared" si="33"/>
        <v>0</v>
      </c>
      <c r="AF68" s="202">
        <f>17215200+8646229.46</f>
        <v>25861429.460000001</v>
      </c>
      <c r="AG68" s="233">
        <f>17215200+8646229.46</f>
        <v>25861429.460000001</v>
      </c>
      <c r="AH68" s="202">
        <v>25852906.82</v>
      </c>
      <c r="AI68" s="234">
        <f t="shared" si="34"/>
        <v>-8522.640000000596</v>
      </c>
      <c r="AJ68" s="202">
        <v>2975551.01</v>
      </c>
      <c r="AK68" s="233"/>
      <c r="AL68" s="526">
        <v>2975551.01</v>
      </c>
      <c r="AM68" s="241">
        <f t="shared" si="36"/>
        <v>2975551.01</v>
      </c>
      <c r="AN68" s="202"/>
      <c r="AO68" s="233"/>
      <c r="AP68" s="202"/>
      <c r="AQ68" s="234">
        <f t="shared" si="35"/>
        <v>0</v>
      </c>
      <c r="AR68" s="202"/>
      <c r="AS68" s="233"/>
      <c r="AT68" s="202"/>
      <c r="AU68" s="234">
        <f t="shared" si="37"/>
        <v>0</v>
      </c>
      <c r="AV68" s="202"/>
      <c r="AW68" s="233"/>
      <c r="AX68" s="202"/>
      <c r="AY68" s="234">
        <f t="shared" si="38"/>
        <v>0</v>
      </c>
      <c r="AZ68" s="202"/>
      <c r="BA68" s="233"/>
      <c r="BB68" s="202"/>
      <c r="BC68" s="513">
        <f t="shared" si="43"/>
        <v>0</v>
      </c>
      <c r="BD68" s="202"/>
      <c r="BE68" s="517"/>
      <c r="BF68" s="233"/>
      <c r="BG68" s="236"/>
      <c r="BH68" s="234"/>
      <c r="BI68" s="526"/>
      <c r="BJ68" s="202"/>
      <c r="BK68" s="202"/>
      <c r="BL68" s="501">
        <f t="shared" si="40"/>
        <v>25861429.460000001</v>
      </c>
      <c r="BM68" s="158"/>
      <c r="BN68" s="1081"/>
      <c r="BO68" s="132"/>
      <c r="BQ68" s="230"/>
    </row>
    <row r="69" spans="1:69" ht="18.75" customHeight="1" x14ac:dyDescent="0.2">
      <c r="A69" s="1082" t="s">
        <v>94</v>
      </c>
      <c r="B69" s="232" t="s">
        <v>219</v>
      </c>
      <c r="C69" s="532" t="s">
        <v>21</v>
      </c>
      <c r="D69" s="232" t="s">
        <v>12</v>
      </c>
      <c r="E69" s="232" t="s">
        <v>223</v>
      </c>
      <c r="F69" s="430" t="s">
        <v>14</v>
      </c>
      <c r="G69" s="242" t="s">
        <v>449</v>
      </c>
      <c r="H69" s="202">
        <f>17655931.13+482367.99</f>
        <v>18138299.119999997</v>
      </c>
      <c r="I69" s="518">
        <f t="shared" si="30"/>
        <v>18138299.119999997</v>
      </c>
      <c r="J69" s="164">
        <f t="shared" si="42"/>
        <v>0</v>
      </c>
      <c r="K69" s="164">
        <f t="shared" si="32"/>
        <v>18138299.120000001</v>
      </c>
      <c r="L69" s="202"/>
      <c r="M69" s="233"/>
      <c r="N69" s="202"/>
      <c r="O69" s="234"/>
      <c r="P69" s="202"/>
      <c r="Q69" s="512"/>
      <c r="R69" s="202"/>
      <c r="S69" s="241"/>
      <c r="T69" s="202"/>
      <c r="U69" s="233"/>
      <c r="V69" s="202"/>
      <c r="W69" s="234">
        <f t="shared" si="16"/>
        <v>0</v>
      </c>
      <c r="X69" s="202">
        <f>17655931.13+482367.99</f>
        <v>18138299.119999997</v>
      </c>
      <c r="Y69" s="233">
        <f>17655931.13+482367.99</f>
        <v>18138299.119999997</v>
      </c>
      <c r="Z69" s="202">
        <v>18138299.120000001</v>
      </c>
      <c r="AA69" s="234">
        <f t="shared" si="17"/>
        <v>0</v>
      </c>
      <c r="AB69" s="202"/>
      <c r="AC69" s="233"/>
      <c r="AD69" s="202"/>
      <c r="AE69" s="234">
        <f t="shared" si="33"/>
        <v>0</v>
      </c>
      <c r="AF69" s="202"/>
      <c r="AG69" s="233"/>
      <c r="AH69" s="202"/>
      <c r="AI69" s="234">
        <f t="shared" si="34"/>
        <v>0</v>
      </c>
      <c r="AJ69" s="202"/>
      <c r="AK69" s="233"/>
      <c r="AL69" s="202"/>
      <c r="AM69" s="241">
        <f t="shared" si="36"/>
        <v>0</v>
      </c>
      <c r="AN69" s="202"/>
      <c r="AO69" s="233"/>
      <c r="AP69" s="202"/>
      <c r="AQ69" s="234">
        <f t="shared" si="35"/>
        <v>0</v>
      </c>
      <c r="AR69" s="202"/>
      <c r="AS69" s="233"/>
      <c r="AT69" s="202"/>
      <c r="AU69" s="234">
        <f t="shared" si="37"/>
        <v>0</v>
      </c>
      <c r="AV69" s="202"/>
      <c r="AW69" s="233"/>
      <c r="AX69" s="202"/>
      <c r="AY69" s="234">
        <f t="shared" si="38"/>
        <v>0</v>
      </c>
      <c r="AZ69" s="202"/>
      <c r="BA69" s="233"/>
      <c r="BB69" s="202"/>
      <c r="BC69" s="513">
        <f t="shared" si="43"/>
        <v>0</v>
      </c>
      <c r="BD69" s="202"/>
      <c r="BE69" s="517"/>
      <c r="BF69" s="233"/>
      <c r="BG69" s="236"/>
      <c r="BH69" s="234">
        <f>BG69-BF69</f>
        <v>0</v>
      </c>
      <c r="BI69" s="526"/>
      <c r="BJ69" s="202"/>
      <c r="BK69" s="202"/>
      <c r="BL69" s="501">
        <f t="shared" si="40"/>
        <v>18138299.119999997</v>
      </c>
      <c r="BM69" s="158"/>
      <c r="BN69" s="1080" t="s">
        <v>533</v>
      </c>
      <c r="BO69" s="132"/>
      <c r="BQ69" s="230" t="str">
        <f>IF(BJ69&gt;0,BJ69,"")</f>
        <v/>
      </c>
    </row>
    <row r="70" spans="1:69" ht="19.5" x14ac:dyDescent="0.2">
      <c r="A70" s="1083"/>
      <c r="B70" s="232" t="s">
        <v>219</v>
      </c>
      <c r="C70" s="532" t="s">
        <v>21</v>
      </c>
      <c r="D70" s="232" t="s">
        <v>12</v>
      </c>
      <c r="E70" s="232" t="s">
        <v>327</v>
      </c>
      <c r="F70" s="430" t="s">
        <v>14</v>
      </c>
      <c r="G70" s="242" t="s">
        <v>449</v>
      </c>
      <c r="H70" s="202">
        <f>2001408.45-482367.99-109568.86</f>
        <v>1409471.5999999999</v>
      </c>
      <c r="I70" s="518">
        <f t="shared" si="30"/>
        <v>1409471.6</v>
      </c>
      <c r="J70" s="164">
        <f t="shared" si="42"/>
        <v>0</v>
      </c>
      <c r="K70" s="164">
        <f t="shared" si="32"/>
        <v>1409471.6</v>
      </c>
      <c r="L70" s="202"/>
      <c r="M70" s="233"/>
      <c r="N70" s="202"/>
      <c r="O70" s="234"/>
      <c r="P70" s="202"/>
      <c r="Q70" s="512"/>
      <c r="R70" s="202"/>
      <c r="S70" s="241"/>
      <c r="T70" s="202"/>
      <c r="U70" s="233"/>
      <c r="V70" s="202"/>
      <c r="W70" s="234">
        <f t="shared" si="16"/>
        <v>0</v>
      </c>
      <c r="X70" s="202">
        <f>2001408.45-591936.85</f>
        <v>1409471.6</v>
      </c>
      <c r="Y70" s="233">
        <f>2001408.45-591936.85</f>
        <v>1409471.6</v>
      </c>
      <c r="Z70" s="202">
        <v>1409471.6</v>
      </c>
      <c r="AA70" s="234">
        <f t="shared" si="17"/>
        <v>0</v>
      </c>
      <c r="AB70" s="202"/>
      <c r="AC70" s="233"/>
      <c r="AD70" s="202"/>
      <c r="AE70" s="234">
        <f t="shared" si="33"/>
        <v>0</v>
      </c>
      <c r="AF70" s="202"/>
      <c r="AG70" s="233"/>
      <c r="AH70" s="202"/>
      <c r="AI70" s="234">
        <f t="shared" si="34"/>
        <v>0</v>
      </c>
      <c r="AJ70" s="202"/>
      <c r="AK70" s="233"/>
      <c r="AL70" s="202"/>
      <c r="AM70" s="241">
        <f t="shared" si="36"/>
        <v>0</v>
      </c>
      <c r="AN70" s="202"/>
      <c r="AO70" s="233"/>
      <c r="AP70" s="202"/>
      <c r="AQ70" s="234">
        <f t="shared" si="35"/>
        <v>0</v>
      </c>
      <c r="AR70" s="202"/>
      <c r="AS70" s="233"/>
      <c r="AT70" s="202"/>
      <c r="AU70" s="234">
        <f t="shared" si="37"/>
        <v>0</v>
      </c>
      <c r="AV70" s="202"/>
      <c r="AW70" s="233"/>
      <c r="AX70" s="202"/>
      <c r="AY70" s="234">
        <f t="shared" si="38"/>
        <v>0</v>
      </c>
      <c r="AZ70" s="202"/>
      <c r="BA70" s="233"/>
      <c r="BB70" s="202"/>
      <c r="BC70" s="513">
        <f t="shared" si="43"/>
        <v>0</v>
      </c>
      <c r="BD70" s="202"/>
      <c r="BE70" s="517"/>
      <c r="BF70" s="233"/>
      <c r="BG70" s="236"/>
      <c r="BH70" s="234"/>
      <c r="BI70" s="526"/>
      <c r="BJ70" s="202"/>
      <c r="BK70" s="202"/>
      <c r="BL70" s="501">
        <f t="shared" si="40"/>
        <v>1409471.5999999999</v>
      </c>
      <c r="BM70" s="158"/>
      <c r="BN70" s="1090"/>
      <c r="BO70" s="132"/>
      <c r="BQ70" s="230"/>
    </row>
    <row r="71" spans="1:69" ht="19.5" x14ac:dyDescent="0.2">
      <c r="A71" s="1083"/>
      <c r="B71" s="533" t="s">
        <v>219</v>
      </c>
      <c r="C71" s="538" t="s">
        <v>21</v>
      </c>
      <c r="D71" s="533" t="s">
        <v>12</v>
      </c>
      <c r="E71" s="533" t="s">
        <v>223</v>
      </c>
      <c r="F71" s="535" t="s">
        <v>16</v>
      </c>
      <c r="G71" s="536" t="s">
        <v>449</v>
      </c>
      <c r="H71" s="537">
        <f>43226590+1180969.95</f>
        <v>44407559.950000003</v>
      </c>
      <c r="I71" s="518">
        <f t="shared" si="30"/>
        <v>44407559.950000003</v>
      </c>
      <c r="J71" s="164">
        <f t="shared" si="42"/>
        <v>0</v>
      </c>
      <c r="K71" s="164">
        <f t="shared" si="32"/>
        <v>44407559.950000003</v>
      </c>
      <c r="L71" s="202"/>
      <c r="M71" s="233"/>
      <c r="N71" s="202"/>
      <c r="O71" s="234"/>
      <c r="P71" s="202"/>
      <c r="Q71" s="512"/>
      <c r="R71" s="202"/>
      <c r="S71" s="241"/>
      <c r="T71" s="202"/>
      <c r="U71" s="233"/>
      <c r="V71" s="202"/>
      <c r="W71" s="234">
        <f t="shared" si="16"/>
        <v>0</v>
      </c>
      <c r="X71" s="202">
        <f>43226590+1180969.95</f>
        <v>44407559.950000003</v>
      </c>
      <c r="Y71" s="233">
        <f>43226590+1180969.95</f>
        <v>44407559.950000003</v>
      </c>
      <c r="Z71" s="202">
        <v>44407559.950000003</v>
      </c>
      <c r="AA71" s="234">
        <f t="shared" si="17"/>
        <v>0</v>
      </c>
      <c r="AB71" s="202"/>
      <c r="AC71" s="233"/>
      <c r="AD71" s="202"/>
      <c r="AE71" s="234">
        <f t="shared" si="33"/>
        <v>0</v>
      </c>
      <c r="AF71" s="202"/>
      <c r="AG71" s="233"/>
      <c r="AH71" s="202"/>
      <c r="AI71" s="234">
        <f t="shared" si="34"/>
        <v>0</v>
      </c>
      <c r="AJ71" s="202"/>
      <c r="AK71" s="233"/>
      <c r="AL71" s="202"/>
      <c r="AM71" s="241">
        <f t="shared" si="36"/>
        <v>0</v>
      </c>
      <c r="AN71" s="202"/>
      <c r="AO71" s="233"/>
      <c r="AP71" s="202"/>
      <c r="AQ71" s="234">
        <f t="shared" si="35"/>
        <v>0</v>
      </c>
      <c r="AR71" s="202"/>
      <c r="AS71" s="233"/>
      <c r="AT71" s="202"/>
      <c r="AU71" s="234">
        <f t="shared" si="37"/>
        <v>0</v>
      </c>
      <c r="AV71" s="202"/>
      <c r="AW71" s="233"/>
      <c r="AX71" s="202"/>
      <c r="AY71" s="234">
        <f t="shared" si="38"/>
        <v>0</v>
      </c>
      <c r="AZ71" s="202"/>
      <c r="BA71" s="233"/>
      <c r="BB71" s="202"/>
      <c r="BC71" s="513">
        <f t="shared" si="43"/>
        <v>0</v>
      </c>
      <c r="BD71" s="202"/>
      <c r="BE71" s="517"/>
      <c r="BF71" s="233"/>
      <c r="BG71" s="236"/>
      <c r="BH71" s="234">
        <f>BG71-BF71</f>
        <v>0</v>
      </c>
      <c r="BI71" s="526"/>
      <c r="BJ71" s="202"/>
      <c r="BK71" s="202"/>
      <c r="BL71" s="501">
        <f t="shared" si="40"/>
        <v>44407559.950000003</v>
      </c>
      <c r="BM71" s="158"/>
      <c r="BN71" s="1090"/>
      <c r="BO71" s="132"/>
      <c r="BQ71" s="230" t="str">
        <f>IF(BJ71&gt;0,BJ71,"")</f>
        <v/>
      </c>
    </row>
    <row r="72" spans="1:69" ht="19.5" x14ac:dyDescent="0.2">
      <c r="A72" s="1084"/>
      <c r="B72" s="533" t="s">
        <v>219</v>
      </c>
      <c r="C72" s="538" t="s">
        <v>21</v>
      </c>
      <c r="D72" s="533" t="s">
        <v>12</v>
      </c>
      <c r="E72" s="533" t="s">
        <v>327</v>
      </c>
      <c r="F72" s="535" t="s">
        <v>16</v>
      </c>
      <c r="G72" s="536" t="s">
        <v>449</v>
      </c>
      <c r="H72" s="537">
        <f>4900000-1180969.95-268254.78</f>
        <v>3450775.2699999996</v>
      </c>
      <c r="I72" s="518">
        <f t="shared" si="30"/>
        <v>3450775.27</v>
      </c>
      <c r="J72" s="164">
        <f t="shared" si="42"/>
        <v>0</v>
      </c>
      <c r="K72" s="164">
        <f t="shared" si="32"/>
        <v>3450775.27</v>
      </c>
      <c r="L72" s="202"/>
      <c r="M72" s="233"/>
      <c r="N72" s="202"/>
      <c r="O72" s="234"/>
      <c r="P72" s="202"/>
      <c r="Q72" s="512"/>
      <c r="R72" s="202"/>
      <c r="S72" s="241"/>
      <c r="T72" s="202"/>
      <c r="U72" s="233"/>
      <c r="V72" s="202"/>
      <c r="W72" s="234">
        <f t="shared" si="16"/>
        <v>0</v>
      </c>
      <c r="X72" s="202">
        <f>4900000-1449224.73</f>
        <v>3450775.27</v>
      </c>
      <c r="Y72" s="233">
        <f>4900000-1449224.73</f>
        <v>3450775.27</v>
      </c>
      <c r="Z72" s="202">
        <v>3450775.27</v>
      </c>
      <c r="AA72" s="234">
        <f t="shared" si="17"/>
        <v>0</v>
      </c>
      <c r="AB72" s="202"/>
      <c r="AC72" s="233"/>
      <c r="AD72" s="202"/>
      <c r="AE72" s="234">
        <f t="shared" si="33"/>
        <v>0</v>
      </c>
      <c r="AF72" s="202"/>
      <c r="AG72" s="233"/>
      <c r="AH72" s="202"/>
      <c r="AI72" s="234">
        <f t="shared" si="34"/>
        <v>0</v>
      </c>
      <c r="AJ72" s="202"/>
      <c r="AK72" s="233"/>
      <c r="AL72" s="202"/>
      <c r="AM72" s="241">
        <f t="shared" si="36"/>
        <v>0</v>
      </c>
      <c r="AN72" s="202"/>
      <c r="AO72" s="233"/>
      <c r="AP72" s="202"/>
      <c r="AQ72" s="234">
        <f t="shared" si="35"/>
        <v>0</v>
      </c>
      <c r="AR72" s="202"/>
      <c r="AS72" s="233"/>
      <c r="AT72" s="202"/>
      <c r="AU72" s="234">
        <f t="shared" si="37"/>
        <v>0</v>
      </c>
      <c r="AV72" s="202"/>
      <c r="AW72" s="233"/>
      <c r="AX72" s="202"/>
      <c r="AY72" s="234">
        <f t="shared" si="38"/>
        <v>0</v>
      </c>
      <c r="AZ72" s="202"/>
      <c r="BA72" s="233"/>
      <c r="BB72" s="202"/>
      <c r="BC72" s="513">
        <f t="shared" si="43"/>
        <v>0</v>
      </c>
      <c r="BD72" s="202"/>
      <c r="BE72" s="517"/>
      <c r="BF72" s="233"/>
      <c r="BG72" s="236"/>
      <c r="BH72" s="234"/>
      <c r="BI72" s="526"/>
      <c r="BJ72" s="202"/>
      <c r="BK72" s="202"/>
      <c r="BL72" s="501">
        <f t="shared" si="40"/>
        <v>3450775.2699999996</v>
      </c>
      <c r="BM72" s="158"/>
      <c r="BN72" s="1081"/>
      <c r="BO72" s="132"/>
      <c r="BQ72" s="230"/>
    </row>
    <row r="73" spans="1:69" ht="27.75" customHeight="1" x14ac:dyDescent="0.2">
      <c r="A73" s="1082" t="s">
        <v>95</v>
      </c>
      <c r="B73" s="232" t="s">
        <v>219</v>
      </c>
      <c r="C73" s="532" t="s">
        <v>23</v>
      </c>
      <c r="D73" s="232" t="s">
        <v>12</v>
      </c>
      <c r="E73" s="232" t="s">
        <v>223</v>
      </c>
      <c r="F73" s="430" t="s">
        <v>14</v>
      </c>
      <c r="G73" s="242" t="s">
        <v>449</v>
      </c>
      <c r="H73" s="202">
        <f>49589836.62</f>
        <v>49589836.619999997</v>
      </c>
      <c r="I73" s="518">
        <f t="shared" si="30"/>
        <v>49589836.619999997</v>
      </c>
      <c r="J73" s="164">
        <f t="shared" si="42"/>
        <v>0</v>
      </c>
      <c r="K73" s="164">
        <f t="shared" si="32"/>
        <v>49589812.859999999</v>
      </c>
      <c r="L73" s="202"/>
      <c r="M73" s="233"/>
      <c r="N73" s="202"/>
      <c r="O73" s="234"/>
      <c r="P73" s="202"/>
      <c r="Q73" s="512"/>
      <c r="R73" s="202"/>
      <c r="S73" s="241"/>
      <c r="T73" s="202">
        <v>45703239.469999999</v>
      </c>
      <c r="U73" s="233">
        <v>45703239.469999999</v>
      </c>
      <c r="V73" s="202">
        <v>45703239.469999999</v>
      </c>
      <c r="W73" s="234">
        <f t="shared" si="16"/>
        <v>0</v>
      </c>
      <c r="X73" s="202">
        <f>3886573.4-0.01</f>
        <v>3886573.39</v>
      </c>
      <c r="Y73" s="233">
        <f>3886573.4-0.01</f>
        <v>3886573.39</v>
      </c>
      <c r="Z73" s="202">
        <v>3886573.39</v>
      </c>
      <c r="AA73" s="234">
        <f t="shared" si="17"/>
        <v>0</v>
      </c>
      <c r="AB73" s="202"/>
      <c r="AC73" s="233"/>
      <c r="AD73" s="522"/>
      <c r="AE73" s="234">
        <f t="shared" si="33"/>
        <v>0</v>
      </c>
      <c r="AF73" s="202"/>
      <c r="AG73" s="233"/>
      <c r="AH73" s="202"/>
      <c r="AI73" s="234">
        <f t="shared" si="34"/>
        <v>0</v>
      </c>
      <c r="AJ73" s="202"/>
      <c r="AK73" s="233"/>
      <c r="AL73" s="202"/>
      <c r="AM73" s="241">
        <f t="shared" si="36"/>
        <v>0</v>
      </c>
      <c r="AN73" s="202"/>
      <c r="AO73" s="233"/>
      <c r="AP73" s="202"/>
      <c r="AQ73" s="234">
        <f t="shared" si="35"/>
        <v>0</v>
      </c>
      <c r="AR73" s="202"/>
      <c r="AS73" s="233"/>
      <c r="AT73" s="202"/>
      <c r="AU73" s="234">
        <f t="shared" ref="AU73:AU88" si="44">AT73-AS73</f>
        <v>0</v>
      </c>
      <c r="AV73" s="202"/>
      <c r="AW73" s="233"/>
      <c r="AX73" s="202"/>
      <c r="AY73" s="234">
        <f t="shared" si="38"/>
        <v>0</v>
      </c>
      <c r="AZ73" s="202"/>
      <c r="BA73" s="233"/>
      <c r="BB73" s="202"/>
      <c r="BC73" s="513">
        <f t="shared" si="43"/>
        <v>0</v>
      </c>
      <c r="BD73" s="202">
        <v>23.76</v>
      </c>
      <c r="BE73" s="517"/>
      <c r="BF73" s="233"/>
      <c r="BG73" s="236"/>
      <c r="BH73" s="234"/>
      <c r="BI73" s="526"/>
      <c r="BJ73" s="202"/>
      <c r="BK73" s="202"/>
      <c r="BL73" s="501">
        <f t="shared" si="40"/>
        <v>49589836.619999997</v>
      </c>
      <c r="BM73" s="158"/>
      <c r="BN73" s="529"/>
      <c r="BO73" s="132"/>
      <c r="BQ73" s="230" t="str">
        <f>IF(BJ73&gt;0,BJ73,"")</f>
        <v/>
      </c>
    </row>
    <row r="74" spans="1:69" ht="27.75" customHeight="1" x14ac:dyDescent="0.2">
      <c r="A74" s="1084"/>
      <c r="B74" s="533" t="s">
        <v>219</v>
      </c>
      <c r="C74" s="538" t="s">
        <v>23</v>
      </c>
      <c r="D74" s="533" t="s">
        <v>12</v>
      </c>
      <c r="E74" s="533" t="s">
        <v>223</v>
      </c>
      <c r="F74" s="535" t="s">
        <v>16</v>
      </c>
      <c r="G74" s="536" t="s">
        <v>449</v>
      </c>
      <c r="H74" s="537">
        <v>121409600</v>
      </c>
      <c r="I74" s="518">
        <f t="shared" si="30"/>
        <v>121409600</v>
      </c>
      <c r="J74" s="164">
        <f t="shared" si="42"/>
        <v>0</v>
      </c>
      <c r="K74" s="164">
        <f t="shared" si="32"/>
        <v>121409541.81999999</v>
      </c>
      <c r="L74" s="202"/>
      <c r="M74" s="233"/>
      <c r="N74" s="202"/>
      <c r="O74" s="234"/>
      <c r="P74" s="202"/>
      <c r="Q74" s="512"/>
      <c r="R74" s="202"/>
      <c r="S74" s="241"/>
      <c r="T74" s="202">
        <v>111894138</v>
      </c>
      <c r="U74" s="233">
        <v>111894138</v>
      </c>
      <c r="V74" s="202">
        <v>111894138</v>
      </c>
      <c r="W74" s="234">
        <f t="shared" si="16"/>
        <v>0</v>
      </c>
      <c r="X74" s="202">
        <f>9515403.83-0.01</f>
        <v>9515403.8200000003</v>
      </c>
      <c r="Y74" s="233">
        <f>9515403.83-0.01</f>
        <v>9515403.8200000003</v>
      </c>
      <c r="Z74" s="202">
        <v>9515403.8200000003</v>
      </c>
      <c r="AA74" s="234">
        <f t="shared" si="17"/>
        <v>0</v>
      </c>
      <c r="AB74" s="202"/>
      <c r="AC74" s="233"/>
      <c r="AD74" s="522"/>
      <c r="AE74" s="234">
        <f t="shared" si="33"/>
        <v>0</v>
      </c>
      <c r="AF74" s="202"/>
      <c r="AG74" s="233"/>
      <c r="AH74" s="202"/>
      <c r="AI74" s="234">
        <f t="shared" si="34"/>
        <v>0</v>
      </c>
      <c r="AJ74" s="202"/>
      <c r="AK74" s="233"/>
      <c r="AL74" s="202"/>
      <c r="AM74" s="241">
        <f t="shared" si="36"/>
        <v>0</v>
      </c>
      <c r="AN74" s="202"/>
      <c r="AO74" s="233"/>
      <c r="AP74" s="202"/>
      <c r="AQ74" s="234">
        <f t="shared" si="35"/>
        <v>0</v>
      </c>
      <c r="AR74" s="202"/>
      <c r="AS74" s="233"/>
      <c r="AT74" s="202"/>
      <c r="AU74" s="234">
        <f t="shared" si="44"/>
        <v>0</v>
      </c>
      <c r="AV74" s="202"/>
      <c r="AW74" s="233"/>
      <c r="AX74" s="202"/>
      <c r="AY74" s="234">
        <f>AX74-AW74</f>
        <v>0</v>
      </c>
      <c r="AZ74" s="202"/>
      <c r="BA74" s="233"/>
      <c r="BB74" s="202"/>
      <c r="BC74" s="513">
        <f t="shared" si="43"/>
        <v>0</v>
      </c>
      <c r="BD74" s="202">
        <v>58.18</v>
      </c>
      <c r="BE74" s="517"/>
      <c r="BF74" s="233"/>
      <c r="BG74" s="236"/>
      <c r="BH74" s="234"/>
      <c r="BI74" s="526"/>
      <c r="BJ74" s="202"/>
      <c r="BK74" s="202"/>
      <c r="BL74" s="501">
        <f t="shared" si="40"/>
        <v>121409600</v>
      </c>
      <c r="BM74" s="158"/>
      <c r="BN74" s="529"/>
      <c r="BO74" s="132"/>
      <c r="BQ74" s="230" t="str">
        <f>IF(BJ74&gt;0,BJ74,"")</f>
        <v/>
      </c>
    </row>
    <row r="75" spans="1:69" ht="21.75" customHeight="1" x14ac:dyDescent="0.2">
      <c r="A75" s="1082" t="s">
        <v>311</v>
      </c>
      <c r="B75" s="232" t="s">
        <v>219</v>
      </c>
      <c r="C75" s="532" t="s">
        <v>25</v>
      </c>
      <c r="D75" s="232" t="s">
        <v>12</v>
      </c>
      <c r="E75" s="232" t="s">
        <v>221</v>
      </c>
      <c r="F75" s="430" t="s">
        <v>14</v>
      </c>
      <c r="G75" s="242" t="s">
        <v>449</v>
      </c>
      <c r="H75" s="202">
        <f>40860877.46-161782.93+109568.86</f>
        <v>40808663.390000001</v>
      </c>
      <c r="I75" s="518">
        <f t="shared" si="30"/>
        <v>40808663.390000001</v>
      </c>
      <c r="J75" s="164">
        <f t="shared" si="42"/>
        <v>0</v>
      </c>
      <c r="K75" s="164">
        <f t="shared" si="32"/>
        <v>38516734.969999999</v>
      </c>
      <c r="L75" s="202"/>
      <c r="M75" s="233"/>
      <c r="N75" s="202"/>
      <c r="O75" s="234"/>
      <c r="P75" s="202"/>
      <c r="Q75" s="512"/>
      <c r="R75" s="202"/>
      <c r="S75" s="241">
        <f>R75-Q75</f>
        <v>0</v>
      </c>
      <c r="T75" s="202"/>
      <c r="U75" s="233"/>
      <c r="V75" s="202"/>
      <c r="W75" s="234">
        <f t="shared" si="16"/>
        <v>0</v>
      </c>
      <c r="X75" s="202">
        <f>36774789.71+1741945.26</f>
        <v>38516734.969999999</v>
      </c>
      <c r="Y75" s="233">
        <f>36774789.71+1741945.26</f>
        <v>38516734.969999999</v>
      </c>
      <c r="Z75" s="202">
        <v>38516734.969999999</v>
      </c>
      <c r="AA75" s="234">
        <f t="shared" si="17"/>
        <v>0</v>
      </c>
      <c r="AB75" s="202"/>
      <c r="AC75" s="233"/>
      <c r="AD75" s="522"/>
      <c r="AE75" s="234">
        <f t="shared" si="33"/>
        <v>0</v>
      </c>
      <c r="AF75" s="202"/>
      <c r="AG75" s="233"/>
      <c r="AH75" s="202"/>
      <c r="AI75" s="234">
        <f t="shared" si="34"/>
        <v>0</v>
      </c>
      <c r="AJ75" s="202"/>
      <c r="AK75" s="233"/>
      <c r="AL75" s="202"/>
      <c r="AM75" s="241">
        <f t="shared" si="36"/>
        <v>0</v>
      </c>
      <c r="AN75" s="202"/>
      <c r="AO75" s="233"/>
      <c r="AP75" s="202"/>
      <c r="AQ75" s="234">
        <f t="shared" si="35"/>
        <v>0</v>
      </c>
      <c r="AR75" s="202">
        <v>2291928.42</v>
      </c>
      <c r="AS75" s="233"/>
      <c r="AT75" s="202"/>
      <c r="AU75" s="234">
        <f>AT75-AS75+AA75</f>
        <v>0</v>
      </c>
      <c r="AV75" s="202"/>
      <c r="AW75" s="233"/>
      <c r="AX75" s="202"/>
      <c r="AY75" s="234">
        <f>AX75-AW75</f>
        <v>0</v>
      </c>
      <c r="AZ75" s="202"/>
      <c r="BA75" s="233"/>
      <c r="BB75" s="202"/>
      <c r="BC75" s="513">
        <f t="shared" si="43"/>
        <v>0</v>
      </c>
      <c r="BD75" s="202"/>
      <c r="BE75" s="517"/>
      <c r="BF75" s="233"/>
      <c r="BG75" s="236"/>
      <c r="BH75" s="234">
        <f>BG75-BF75</f>
        <v>0</v>
      </c>
      <c r="BI75" s="526"/>
      <c r="BJ75" s="202"/>
      <c r="BK75" s="520"/>
      <c r="BL75" s="501">
        <f t="shared" si="40"/>
        <v>40808663.390000001</v>
      </c>
      <c r="BM75" s="158"/>
      <c r="BN75" s="1080" t="s">
        <v>512</v>
      </c>
      <c r="BO75" s="132"/>
      <c r="BQ75" s="230" t="str">
        <f>IF(BJ75&gt;0,BJ75,"")</f>
        <v/>
      </c>
    </row>
    <row r="76" spans="1:69" ht="19.5" customHeight="1" x14ac:dyDescent="0.2">
      <c r="A76" s="1083"/>
      <c r="B76" s="232" t="s">
        <v>219</v>
      </c>
      <c r="C76" s="532" t="s">
        <v>25</v>
      </c>
      <c r="D76" s="232" t="s">
        <v>12</v>
      </c>
      <c r="E76" s="232" t="s">
        <v>231</v>
      </c>
      <c r="F76" s="430" t="s">
        <v>14</v>
      </c>
      <c r="G76" s="242" t="s">
        <v>449</v>
      </c>
      <c r="H76" s="202">
        <f>21483322.54+161782.93</f>
        <v>21645105.469999999</v>
      </c>
      <c r="I76" s="518">
        <f t="shared" si="30"/>
        <v>21645105.469999999</v>
      </c>
      <c r="J76" s="164">
        <f t="shared" si="42"/>
        <v>0</v>
      </c>
      <c r="K76" s="164">
        <f t="shared" si="32"/>
        <v>21625151.959999997</v>
      </c>
      <c r="L76" s="202"/>
      <c r="M76" s="233"/>
      <c r="N76" s="202"/>
      <c r="O76" s="234"/>
      <c r="P76" s="202"/>
      <c r="Q76" s="512"/>
      <c r="R76" s="202"/>
      <c r="S76" s="241"/>
      <c r="T76" s="202"/>
      <c r="U76" s="233"/>
      <c r="V76" s="202"/>
      <c r="W76" s="234">
        <f t="shared" si="16"/>
        <v>0</v>
      </c>
      <c r="X76" s="202">
        <f>21483322.54+161782.93</f>
        <v>21645105.469999999</v>
      </c>
      <c r="Y76" s="233">
        <f>21483322.54+161782.93</f>
        <v>21645105.469999999</v>
      </c>
      <c r="Z76" s="202">
        <v>21625151.959999997</v>
      </c>
      <c r="AA76" s="234">
        <f t="shared" si="17"/>
        <v>-19953.510000001639</v>
      </c>
      <c r="AB76" s="202"/>
      <c r="AC76" s="233"/>
      <c r="AD76" s="522"/>
      <c r="AE76" s="234">
        <f t="shared" si="33"/>
        <v>0</v>
      </c>
      <c r="AF76" s="202"/>
      <c r="AG76" s="233"/>
      <c r="AH76" s="202"/>
      <c r="AI76" s="234">
        <f t="shared" si="34"/>
        <v>0</v>
      </c>
      <c r="AJ76" s="202"/>
      <c r="AK76" s="233"/>
      <c r="AL76" s="202"/>
      <c r="AM76" s="241">
        <f t="shared" si="36"/>
        <v>0</v>
      </c>
      <c r="AN76" s="202"/>
      <c r="AO76" s="233"/>
      <c r="AP76" s="202"/>
      <c r="AQ76" s="234">
        <f t="shared" si="35"/>
        <v>0</v>
      </c>
      <c r="AR76" s="202"/>
      <c r="AS76" s="233"/>
      <c r="AT76" s="202"/>
      <c r="AU76" s="234">
        <f t="shared" ref="AU76:AU78" si="45">AT76-AS76+AA76</f>
        <v>-19953.510000001639</v>
      </c>
      <c r="AV76" s="202"/>
      <c r="AW76" s="233"/>
      <c r="AX76" s="202"/>
      <c r="AY76" s="234">
        <f>AX76-AW76</f>
        <v>0</v>
      </c>
      <c r="AZ76" s="202"/>
      <c r="BA76" s="233"/>
      <c r="BB76" s="202"/>
      <c r="BC76" s="513">
        <f t="shared" si="43"/>
        <v>0</v>
      </c>
      <c r="BD76" s="202"/>
      <c r="BE76" s="517"/>
      <c r="BF76" s="233"/>
      <c r="BG76" s="236"/>
      <c r="BH76" s="234"/>
      <c r="BI76" s="526"/>
      <c r="BJ76" s="202"/>
      <c r="BK76" s="520"/>
      <c r="BL76" s="501">
        <f t="shared" si="40"/>
        <v>21645105.469999999</v>
      </c>
      <c r="BM76" s="158"/>
      <c r="BN76" s="1090"/>
      <c r="BO76" s="132"/>
      <c r="BQ76" s="230"/>
    </row>
    <row r="77" spans="1:69" ht="21.75" customHeight="1" x14ac:dyDescent="0.2">
      <c r="A77" s="1083"/>
      <c r="B77" s="533" t="s">
        <v>219</v>
      </c>
      <c r="C77" s="538" t="s">
        <v>25</v>
      </c>
      <c r="D77" s="533" t="s">
        <v>12</v>
      </c>
      <c r="E77" s="533" t="s">
        <v>221</v>
      </c>
      <c r="F77" s="535" t="s">
        <v>16</v>
      </c>
      <c r="G77" s="536" t="s">
        <v>449</v>
      </c>
      <c r="H77" s="537">
        <f>100038700-396089.24+268254.78</f>
        <v>99910865.540000007</v>
      </c>
      <c r="I77" s="518">
        <f t="shared" ref="I77:I92" si="46">L77+P77+T77+X77+AB77+AF77+AJ77+AN77+AR77+AV77+AZ77+BD77</f>
        <v>99910865.539999992</v>
      </c>
      <c r="J77" s="164">
        <f t="shared" si="42"/>
        <v>0</v>
      </c>
      <c r="K77" s="164">
        <f t="shared" si="32"/>
        <v>94299592.519999996</v>
      </c>
      <c r="L77" s="202"/>
      <c r="M77" s="233"/>
      <c r="N77" s="202"/>
      <c r="O77" s="234"/>
      <c r="P77" s="202"/>
      <c r="Q77" s="512"/>
      <c r="R77" s="202"/>
      <c r="S77" s="241">
        <f>R77-Q77</f>
        <v>0</v>
      </c>
      <c r="T77" s="202"/>
      <c r="U77" s="233"/>
      <c r="V77" s="202"/>
      <c r="W77" s="234">
        <f t="shared" si="16"/>
        <v>0</v>
      </c>
      <c r="X77" s="202">
        <f>90034830+4264762.52</f>
        <v>94299592.519999996</v>
      </c>
      <c r="Y77" s="233">
        <f>90034830+4264762.52</f>
        <v>94299592.519999996</v>
      </c>
      <c r="Z77" s="202">
        <v>94299592.519999996</v>
      </c>
      <c r="AA77" s="234">
        <f t="shared" si="17"/>
        <v>0</v>
      </c>
      <c r="AB77" s="202"/>
      <c r="AC77" s="233"/>
      <c r="AD77" s="522"/>
      <c r="AE77" s="234">
        <f t="shared" si="33"/>
        <v>0</v>
      </c>
      <c r="AF77" s="202"/>
      <c r="AG77" s="233"/>
      <c r="AH77" s="202"/>
      <c r="AI77" s="234">
        <f t="shared" si="34"/>
        <v>0</v>
      </c>
      <c r="AJ77" s="202"/>
      <c r="AK77" s="233"/>
      <c r="AL77" s="202"/>
      <c r="AM77" s="241">
        <f t="shared" si="36"/>
        <v>0</v>
      </c>
      <c r="AN77" s="202"/>
      <c r="AO77" s="233"/>
      <c r="AP77" s="202"/>
      <c r="AQ77" s="234">
        <f>AP77-AO77</f>
        <v>0</v>
      </c>
      <c r="AR77" s="202">
        <v>5611273.0200000005</v>
      </c>
      <c r="AS77" s="233"/>
      <c r="AT77" s="202"/>
      <c r="AU77" s="234">
        <f t="shared" si="45"/>
        <v>0</v>
      </c>
      <c r="AV77" s="202"/>
      <c r="AW77" s="233"/>
      <c r="AX77" s="202"/>
      <c r="AY77" s="234">
        <f>AX77-AW77</f>
        <v>0</v>
      </c>
      <c r="AZ77" s="202"/>
      <c r="BA77" s="233"/>
      <c r="BB77" s="202"/>
      <c r="BC77" s="513">
        <f t="shared" si="43"/>
        <v>0</v>
      </c>
      <c r="BD77" s="202"/>
      <c r="BE77" s="517"/>
      <c r="BF77" s="233"/>
      <c r="BG77" s="236"/>
      <c r="BH77" s="234">
        <f>BG77-BF77</f>
        <v>0</v>
      </c>
      <c r="BI77" s="526"/>
      <c r="BJ77" s="202"/>
      <c r="BK77" s="520"/>
      <c r="BL77" s="501">
        <f t="shared" si="40"/>
        <v>99910865.540000007</v>
      </c>
      <c r="BM77" s="158"/>
      <c r="BN77" s="1090"/>
      <c r="BO77" s="132"/>
      <c r="BQ77" s="230" t="str">
        <f>IF(BJ77&gt;0,BJ77,"")</f>
        <v/>
      </c>
    </row>
    <row r="78" spans="1:69" ht="21.75" customHeight="1" x14ac:dyDescent="0.2">
      <c r="A78" s="1084"/>
      <c r="B78" s="533" t="s">
        <v>219</v>
      </c>
      <c r="C78" s="538" t="s">
        <v>25</v>
      </c>
      <c r="D78" s="533" t="s">
        <v>12</v>
      </c>
      <c r="E78" s="533" t="s">
        <v>231</v>
      </c>
      <c r="F78" s="535" t="s">
        <v>16</v>
      </c>
      <c r="G78" s="536" t="s">
        <v>449</v>
      </c>
      <c r="H78" s="537">
        <f>52597100+396089.24</f>
        <v>52993189.240000002</v>
      </c>
      <c r="I78" s="518">
        <f t="shared" si="46"/>
        <v>52993189.240000002</v>
      </c>
      <c r="J78" s="164">
        <f t="shared" si="42"/>
        <v>0</v>
      </c>
      <c r="K78" s="164">
        <f t="shared" si="32"/>
        <v>52944337.530000001</v>
      </c>
      <c r="L78" s="202"/>
      <c r="M78" s="233"/>
      <c r="N78" s="202"/>
      <c r="O78" s="234"/>
      <c r="P78" s="202"/>
      <c r="Q78" s="512"/>
      <c r="R78" s="202"/>
      <c r="S78" s="241"/>
      <c r="T78" s="202"/>
      <c r="U78" s="233"/>
      <c r="V78" s="202"/>
      <c r="W78" s="234">
        <f t="shared" si="16"/>
        <v>0</v>
      </c>
      <c r="X78" s="202">
        <f>52597100+396089.24</f>
        <v>52993189.240000002</v>
      </c>
      <c r="Y78" s="233">
        <f>52597100+396089.24</f>
        <v>52993189.240000002</v>
      </c>
      <c r="Z78" s="202">
        <v>52944337.530000001</v>
      </c>
      <c r="AA78" s="234">
        <f t="shared" si="17"/>
        <v>-48851.710000000894</v>
      </c>
      <c r="AB78" s="202"/>
      <c r="AC78" s="233"/>
      <c r="AD78" s="522"/>
      <c r="AE78" s="234">
        <f t="shared" si="33"/>
        <v>0</v>
      </c>
      <c r="AF78" s="202"/>
      <c r="AG78" s="233"/>
      <c r="AH78" s="202"/>
      <c r="AI78" s="234">
        <f t="shared" ref="AI78:AI100" si="47">AH78-AG78</f>
        <v>0</v>
      </c>
      <c r="AJ78" s="202"/>
      <c r="AK78" s="233"/>
      <c r="AL78" s="202"/>
      <c r="AM78" s="241">
        <f t="shared" si="36"/>
        <v>0</v>
      </c>
      <c r="AN78" s="202"/>
      <c r="AO78" s="233"/>
      <c r="AP78" s="202"/>
      <c r="AQ78" s="234">
        <f t="shared" ref="AQ78:AQ86" si="48">AP78-AO78</f>
        <v>0</v>
      </c>
      <c r="AR78" s="202"/>
      <c r="AS78" s="233"/>
      <c r="AT78" s="202"/>
      <c r="AU78" s="234">
        <f t="shared" si="45"/>
        <v>-48851.710000000894</v>
      </c>
      <c r="AV78" s="202"/>
      <c r="AW78" s="233"/>
      <c r="AX78" s="202"/>
      <c r="AY78" s="234">
        <f>AX78-AW78</f>
        <v>0</v>
      </c>
      <c r="AZ78" s="202"/>
      <c r="BA78" s="233"/>
      <c r="BB78" s="202"/>
      <c r="BC78" s="513">
        <f t="shared" si="43"/>
        <v>0</v>
      </c>
      <c r="BD78" s="202"/>
      <c r="BE78" s="517"/>
      <c r="BF78" s="233"/>
      <c r="BG78" s="236"/>
      <c r="BH78" s="234"/>
      <c r="BI78" s="526"/>
      <c r="BJ78" s="202"/>
      <c r="BK78" s="520"/>
      <c r="BL78" s="501">
        <f t="shared" ref="BL78:BL100" si="49">H78+BJ78+BK78</f>
        <v>52993189.240000002</v>
      </c>
      <c r="BM78" s="158"/>
      <c r="BN78" s="1081"/>
      <c r="BO78" s="132"/>
      <c r="BQ78" s="230"/>
    </row>
    <row r="79" spans="1:69" ht="30.75" customHeight="1" x14ac:dyDescent="0.2">
      <c r="A79" s="1082" t="s">
        <v>333</v>
      </c>
      <c r="B79" s="232" t="s">
        <v>219</v>
      </c>
      <c r="C79" s="532" t="s">
        <v>26</v>
      </c>
      <c r="D79" s="232" t="s">
        <v>12</v>
      </c>
      <c r="E79" s="232" t="s">
        <v>221</v>
      </c>
      <c r="F79" s="430" t="s">
        <v>14</v>
      </c>
      <c r="G79" s="242" t="s">
        <v>449</v>
      </c>
      <c r="H79" s="202">
        <f>H83+H87</f>
        <v>21845744.93</v>
      </c>
      <c r="I79" s="518">
        <f t="shared" si="46"/>
        <v>21845744.93</v>
      </c>
      <c r="J79" s="202">
        <f>J83+J87</f>
        <v>0</v>
      </c>
      <c r="K79" s="202">
        <f>K83+K87</f>
        <v>2528555.5699999998</v>
      </c>
      <c r="L79" s="202"/>
      <c r="M79" s="233"/>
      <c r="N79" s="202"/>
      <c r="O79" s="234"/>
      <c r="P79" s="202"/>
      <c r="Q79" s="512"/>
      <c r="R79" s="202"/>
      <c r="S79" s="241"/>
      <c r="T79" s="202">
        <f>T83+T87</f>
        <v>2430408.79</v>
      </c>
      <c r="U79" s="233">
        <f>U83+U87</f>
        <v>2430408.79</v>
      </c>
      <c r="V79" s="202">
        <f>V83+V87</f>
        <v>2430408.79</v>
      </c>
      <c r="W79" s="234">
        <f t="shared" si="16"/>
        <v>0</v>
      </c>
      <c r="X79" s="202">
        <f>X83+X87</f>
        <v>0</v>
      </c>
      <c r="Y79" s="233">
        <f>Y83+Y87</f>
        <v>0</v>
      </c>
      <c r="Z79" s="202">
        <f>Z83+Z87</f>
        <v>0</v>
      </c>
      <c r="AA79" s="234">
        <f t="shared" si="17"/>
        <v>0</v>
      </c>
      <c r="AB79" s="202">
        <f>AB83+AB87</f>
        <v>98146.78</v>
      </c>
      <c r="AC79" s="233">
        <f>AC83+AC87</f>
        <v>98146.78</v>
      </c>
      <c r="AD79" s="202">
        <f>AD83+AD87</f>
        <v>98146.78</v>
      </c>
      <c r="AE79" s="234">
        <f t="shared" si="33"/>
        <v>0</v>
      </c>
      <c r="AF79" s="202"/>
      <c r="AG79" s="233"/>
      <c r="AH79" s="202"/>
      <c r="AI79" s="234">
        <f t="shared" si="47"/>
        <v>0</v>
      </c>
      <c r="AJ79" s="202">
        <f>AJ83+AJ87</f>
        <v>11307798.449999999</v>
      </c>
      <c r="AK79" s="233">
        <f>AK83+AK87</f>
        <v>11307798.449999999</v>
      </c>
      <c r="AL79" s="202">
        <f>AL83+AL87</f>
        <v>0</v>
      </c>
      <c r="AM79" s="241">
        <f t="shared" si="36"/>
        <v>-11307798.449999999</v>
      </c>
      <c r="AN79" s="202">
        <f>AN83+AN87</f>
        <v>0</v>
      </c>
      <c r="AO79" s="233"/>
      <c r="AP79" s="202"/>
      <c r="AQ79" s="234">
        <f t="shared" si="48"/>
        <v>0</v>
      </c>
      <c r="AR79" s="202"/>
      <c r="AS79" s="233"/>
      <c r="AT79" s="202"/>
      <c r="AU79" s="234">
        <f t="shared" si="44"/>
        <v>0</v>
      </c>
      <c r="AV79" s="202">
        <f>AV83+AV87</f>
        <v>0</v>
      </c>
      <c r="AW79" s="233">
        <f>AW83+AW87</f>
        <v>0</v>
      </c>
      <c r="AX79" s="202">
        <f>AX83+AX87</f>
        <v>0</v>
      </c>
      <c r="AY79" s="234">
        <f>AY83+AY87</f>
        <v>0</v>
      </c>
      <c r="AZ79" s="202"/>
      <c r="BA79" s="233"/>
      <c r="BB79" s="202"/>
      <c r="BC79" s="513">
        <f t="shared" si="43"/>
        <v>0</v>
      </c>
      <c r="BD79" s="202">
        <f>BD83+BD87</f>
        <v>8009390.9100000001</v>
      </c>
      <c r="BE79" s="202"/>
      <c r="BF79" s="233"/>
      <c r="BG79" s="236"/>
      <c r="BH79" s="234"/>
      <c r="BI79" s="526"/>
      <c r="BJ79" s="202"/>
      <c r="BK79" s="520"/>
      <c r="BL79" s="501">
        <f t="shared" si="49"/>
        <v>21845744.93</v>
      </c>
      <c r="BM79" s="158"/>
      <c r="BN79" s="783"/>
      <c r="BO79" s="1175" t="s">
        <v>640</v>
      </c>
      <c r="BQ79" s="230" t="str">
        <f>IF(BJ79&gt;0,BJ79,"")</f>
        <v/>
      </c>
    </row>
    <row r="80" spans="1:69" ht="30.75" customHeight="1" x14ac:dyDescent="0.2">
      <c r="A80" s="1083"/>
      <c r="B80" s="232" t="s">
        <v>219</v>
      </c>
      <c r="C80" s="532" t="s">
        <v>26</v>
      </c>
      <c r="D80" s="232" t="s">
        <v>12</v>
      </c>
      <c r="E80" s="232" t="s">
        <v>231</v>
      </c>
      <c r="F80" s="430" t="s">
        <v>14</v>
      </c>
      <c r="G80" s="242" t="s">
        <v>449</v>
      </c>
      <c r="H80" s="202">
        <f>H84</f>
        <v>265492.96000000002</v>
      </c>
      <c r="I80" s="518">
        <f>L80+P80+T80+X80+AB80+AF80+AJ80+AN80+AR80+AV80+AZ80+BD80</f>
        <v>265492.96000000002</v>
      </c>
      <c r="J80" s="202">
        <f>J84</f>
        <v>0</v>
      </c>
      <c r="K80" s="202">
        <f>K84</f>
        <v>0</v>
      </c>
      <c r="L80" s="202"/>
      <c r="M80" s="233"/>
      <c r="N80" s="202"/>
      <c r="O80" s="234"/>
      <c r="P80" s="202"/>
      <c r="Q80" s="512"/>
      <c r="R80" s="202"/>
      <c r="S80" s="241"/>
      <c r="T80" s="202">
        <f>T84</f>
        <v>0</v>
      </c>
      <c r="U80" s="233">
        <f>U84</f>
        <v>0</v>
      </c>
      <c r="V80" s="202">
        <f>V84</f>
        <v>0</v>
      </c>
      <c r="W80" s="234">
        <f t="shared" si="16"/>
        <v>0</v>
      </c>
      <c r="X80" s="202">
        <f>X84</f>
        <v>0</v>
      </c>
      <c r="Y80" s="233">
        <f>Y84</f>
        <v>0</v>
      </c>
      <c r="Z80" s="202">
        <f>Z84</f>
        <v>0</v>
      </c>
      <c r="AA80" s="234">
        <f t="shared" si="17"/>
        <v>0</v>
      </c>
      <c r="AB80" s="202">
        <f>AB84</f>
        <v>0</v>
      </c>
      <c r="AC80" s="233">
        <f>AC84</f>
        <v>0</v>
      </c>
      <c r="AD80" s="202">
        <f>AD84</f>
        <v>0</v>
      </c>
      <c r="AE80" s="234">
        <f t="shared" si="33"/>
        <v>0</v>
      </c>
      <c r="AF80" s="202"/>
      <c r="AG80" s="233"/>
      <c r="AH80" s="202"/>
      <c r="AI80" s="234"/>
      <c r="AJ80" s="202">
        <f>AJ84</f>
        <v>265492.96000000002</v>
      </c>
      <c r="AK80" s="233">
        <f>AK84</f>
        <v>265492.96000000002</v>
      </c>
      <c r="AL80" s="202">
        <f>AL84</f>
        <v>0</v>
      </c>
      <c r="AM80" s="241">
        <f t="shared" si="36"/>
        <v>-265492.96000000002</v>
      </c>
      <c r="AN80" s="202">
        <f>AN84</f>
        <v>0</v>
      </c>
      <c r="AO80" s="233"/>
      <c r="AP80" s="202"/>
      <c r="AQ80" s="234">
        <f t="shared" si="48"/>
        <v>0</v>
      </c>
      <c r="AR80" s="202"/>
      <c r="AS80" s="233"/>
      <c r="AT80" s="202"/>
      <c r="AU80" s="234">
        <f t="shared" si="44"/>
        <v>0</v>
      </c>
      <c r="AV80" s="202"/>
      <c r="AW80" s="233">
        <f>AW84</f>
        <v>0</v>
      </c>
      <c r="AX80" s="202">
        <f>AX84</f>
        <v>0</v>
      </c>
      <c r="AY80" s="234">
        <f>AY84</f>
        <v>0</v>
      </c>
      <c r="AZ80" s="202"/>
      <c r="BA80" s="233"/>
      <c r="BB80" s="202"/>
      <c r="BC80" s="513">
        <f t="shared" si="43"/>
        <v>0</v>
      </c>
      <c r="BD80" s="202">
        <f>BD84</f>
        <v>0</v>
      </c>
      <c r="BE80" s="202"/>
      <c r="BF80" s="233"/>
      <c r="BG80" s="236"/>
      <c r="BH80" s="234"/>
      <c r="BI80" s="526"/>
      <c r="BJ80" s="202"/>
      <c r="BK80" s="520"/>
      <c r="BL80" s="501">
        <f t="shared" si="49"/>
        <v>265492.96000000002</v>
      </c>
      <c r="BM80" s="158"/>
      <c r="BN80" s="783"/>
      <c r="BO80" s="1175"/>
      <c r="BQ80" s="230"/>
    </row>
    <row r="81" spans="1:69" ht="30.75" customHeight="1" x14ac:dyDescent="0.2">
      <c r="A81" s="1083"/>
      <c r="B81" s="533" t="s">
        <v>219</v>
      </c>
      <c r="C81" s="538" t="s">
        <v>26</v>
      </c>
      <c r="D81" s="533" t="s">
        <v>12</v>
      </c>
      <c r="E81" s="533" t="s">
        <v>221</v>
      </c>
      <c r="F81" s="535" t="s">
        <v>16</v>
      </c>
      <c r="G81" s="536" t="s">
        <v>449</v>
      </c>
      <c r="H81" s="537">
        <f>H85+H88</f>
        <v>53484410</v>
      </c>
      <c r="I81" s="518">
        <f t="shared" si="46"/>
        <v>53484410</v>
      </c>
      <c r="J81" s="202">
        <f>J85+J88</f>
        <v>0</v>
      </c>
      <c r="K81" s="202">
        <f>K85+K88</f>
        <v>6190601.5700000003</v>
      </c>
      <c r="L81" s="202"/>
      <c r="M81" s="233"/>
      <c r="N81" s="202"/>
      <c r="O81" s="234"/>
      <c r="P81" s="202"/>
      <c r="Q81" s="512"/>
      <c r="R81" s="202"/>
      <c r="S81" s="241"/>
      <c r="T81" s="202">
        <f>T85+T88</f>
        <v>5950311.1900000004</v>
      </c>
      <c r="U81" s="233">
        <f>U85+U88</f>
        <v>5950311.1900000004</v>
      </c>
      <c r="V81" s="202">
        <f>V85+V88</f>
        <v>5950311.1900000004</v>
      </c>
      <c r="W81" s="234">
        <f t="shared" si="16"/>
        <v>0</v>
      </c>
      <c r="X81" s="202">
        <f>X85+X88</f>
        <v>0</v>
      </c>
      <c r="Y81" s="233">
        <f>Y85+Y88</f>
        <v>0</v>
      </c>
      <c r="Z81" s="202">
        <f>Z85+Z88</f>
        <v>0</v>
      </c>
      <c r="AA81" s="234">
        <f t="shared" si="17"/>
        <v>0</v>
      </c>
      <c r="AB81" s="202">
        <f>AB85+AB88</f>
        <v>240290.38</v>
      </c>
      <c r="AC81" s="233">
        <f>AC85+AC88</f>
        <v>240290.38</v>
      </c>
      <c r="AD81" s="202">
        <f>AD85+AD88</f>
        <v>240290.38</v>
      </c>
      <c r="AE81" s="234">
        <f t="shared" si="33"/>
        <v>0</v>
      </c>
      <c r="AF81" s="202"/>
      <c r="AG81" s="233"/>
      <c r="AH81" s="202"/>
      <c r="AI81" s="234">
        <f t="shared" si="47"/>
        <v>0</v>
      </c>
      <c r="AJ81" s="202">
        <f>AJ85+AJ88</f>
        <v>27684610</v>
      </c>
      <c r="AK81" s="233">
        <f>AK85+AK88</f>
        <v>27684610</v>
      </c>
      <c r="AL81" s="202">
        <f>AL85+AL88</f>
        <v>0</v>
      </c>
      <c r="AM81" s="241">
        <f t="shared" si="36"/>
        <v>-27684610</v>
      </c>
      <c r="AN81" s="202">
        <f>AN85+AN88</f>
        <v>0</v>
      </c>
      <c r="AO81" s="233"/>
      <c r="AP81" s="202"/>
      <c r="AQ81" s="234">
        <f t="shared" si="48"/>
        <v>0</v>
      </c>
      <c r="AR81" s="202"/>
      <c r="AS81" s="233"/>
      <c r="AT81" s="202"/>
      <c r="AU81" s="234">
        <f t="shared" si="44"/>
        <v>0</v>
      </c>
      <c r="AV81" s="202">
        <f>AV85+AV88</f>
        <v>0</v>
      </c>
      <c r="AW81" s="233">
        <f>AW85+AW88</f>
        <v>0</v>
      </c>
      <c r="AX81" s="202">
        <f>AX85+AX88</f>
        <v>0</v>
      </c>
      <c r="AY81" s="234">
        <f>AY85+AY88</f>
        <v>0</v>
      </c>
      <c r="AZ81" s="202"/>
      <c r="BA81" s="233"/>
      <c r="BB81" s="202"/>
      <c r="BC81" s="513">
        <f t="shared" si="43"/>
        <v>0</v>
      </c>
      <c r="BD81" s="202">
        <f>BD85+BD88</f>
        <v>19609198.43</v>
      </c>
      <c r="BE81" s="202"/>
      <c r="BF81" s="233"/>
      <c r="BG81" s="236"/>
      <c r="BH81" s="234"/>
      <c r="BI81" s="526"/>
      <c r="BJ81" s="202"/>
      <c r="BK81" s="520"/>
      <c r="BL81" s="501">
        <f t="shared" si="49"/>
        <v>53484410</v>
      </c>
      <c r="BM81" s="158"/>
      <c r="BN81" s="783"/>
      <c r="BO81" s="1175"/>
      <c r="BQ81" s="230"/>
    </row>
    <row r="82" spans="1:69" ht="30.75" customHeight="1" x14ac:dyDescent="0.2">
      <c r="A82" s="1084"/>
      <c r="B82" s="533" t="s">
        <v>219</v>
      </c>
      <c r="C82" s="538" t="s">
        <v>26</v>
      </c>
      <c r="D82" s="533" t="s">
        <v>12</v>
      </c>
      <c r="E82" s="533" t="s">
        <v>231</v>
      </c>
      <c r="F82" s="535" t="s">
        <v>16</v>
      </c>
      <c r="G82" s="536" t="s">
        <v>449</v>
      </c>
      <c r="H82" s="537">
        <f>H86</f>
        <v>650000</v>
      </c>
      <c r="I82" s="518">
        <f>L82+P82+T82+X82+AB82+AF82+AJ82+AN82+AR82+AV82+AZ82+BD82</f>
        <v>650000</v>
      </c>
      <c r="J82" s="202">
        <f>J86+J55</f>
        <v>0</v>
      </c>
      <c r="K82" s="202">
        <f>K86</f>
        <v>0</v>
      </c>
      <c r="L82" s="202"/>
      <c r="M82" s="233"/>
      <c r="N82" s="202"/>
      <c r="O82" s="234"/>
      <c r="P82" s="202"/>
      <c r="Q82" s="512"/>
      <c r="R82" s="202"/>
      <c r="S82" s="241"/>
      <c r="T82" s="202">
        <f>T86</f>
        <v>0</v>
      </c>
      <c r="U82" s="233">
        <f>U86</f>
        <v>0</v>
      </c>
      <c r="V82" s="202">
        <f>V86</f>
        <v>0</v>
      </c>
      <c r="W82" s="234">
        <f t="shared" si="16"/>
        <v>0</v>
      </c>
      <c r="X82" s="202">
        <f>X86</f>
        <v>0</v>
      </c>
      <c r="Y82" s="233">
        <f>Y86</f>
        <v>0</v>
      </c>
      <c r="Z82" s="202">
        <f>Z86</f>
        <v>0</v>
      </c>
      <c r="AA82" s="234">
        <f t="shared" si="17"/>
        <v>0</v>
      </c>
      <c r="AB82" s="202">
        <f>AB86</f>
        <v>0</v>
      </c>
      <c r="AC82" s="233">
        <f>AC86</f>
        <v>0</v>
      </c>
      <c r="AD82" s="202">
        <f>AD86</f>
        <v>0</v>
      </c>
      <c r="AE82" s="234">
        <f t="shared" si="33"/>
        <v>0</v>
      </c>
      <c r="AF82" s="202"/>
      <c r="AG82" s="233"/>
      <c r="AH82" s="202"/>
      <c r="AI82" s="234"/>
      <c r="AJ82" s="202">
        <f>AJ86</f>
        <v>650000</v>
      </c>
      <c r="AK82" s="233">
        <f>AK86</f>
        <v>650000</v>
      </c>
      <c r="AL82" s="202">
        <f>AL86</f>
        <v>0</v>
      </c>
      <c r="AM82" s="241">
        <f t="shared" si="36"/>
        <v>-650000</v>
      </c>
      <c r="AN82" s="202">
        <f>AN86</f>
        <v>0</v>
      </c>
      <c r="AO82" s="233"/>
      <c r="AP82" s="202"/>
      <c r="AQ82" s="234">
        <f t="shared" si="48"/>
        <v>0</v>
      </c>
      <c r="AR82" s="202"/>
      <c r="AS82" s="233"/>
      <c r="AT82" s="202"/>
      <c r="AU82" s="234">
        <f t="shared" si="44"/>
        <v>0</v>
      </c>
      <c r="AV82" s="202"/>
      <c r="AW82" s="233">
        <f>AW86</f>
        <v>0</v>
      </c>
      <c r="AX82" s="202">
        <f>AX86</f>
        <v>0</v>
      </c>
      <c r="AY82" s="234">
        <f>AY86</f>
        <v>0</v>
      </c>
      <c r="AZ82" s="202"/>
      <c r="BA82" s="233"/>
      <c r="BB82" s="202"/>
      <c r="BC82" s="513">
        <f t="shared" si="43"/>
        <v>0</v>
      </c>
      <c r="BD82" s="202">
        <f>BD86</f>
        <v>0</v>
      </c>
      <c r="BE82" s="202"/>
      <c r="BF82" s="233"/>
      <c r="BG82" s="236"/>
      <c r="BH82" s="234"/>
      <c r="BI82" s="526"/>
      <c r="BJ82" s="202"/>
      <c r="BK82" s="520"/>
      <c r="BL82" s="501">
        <f t="shared" si="49"/>
        <v>650000</v>
      </c>
      <c r="BM82" s="158"/>
      <c r="BN82" s="783"/>
      <c r="BO82" s="1175"/>
      <c r="BQ82" s="230"/>
    </row>
    <row r="83" spans="1:69" s="441" customFormat="1" ht="24.75" customHeight="1" x14ac:dyDescent="0.2">
      <c r="A83" s="1087" t="s">
        <v>382</v>
      </c>
      <c r="B83" s="539" t="s">
        <v>219</v>
      </c>
      <c r="C83" s="540" t="s">
        <v>26</v>
      </c>
      <c r="D83" s="539" t="s">
        <v>12</v>
      </c>
      <c r="E83" s="539" t="s">
        <v>221</v>
      </c>
      <c r="F83" s="539"/>
      <c r="G83" s="541" t="s">
        <v>449</v>
      </c>
      <c r="H83" s="436">
        <v>11307798.449999999</v>
      </c>
      <c r="I83" s="542">
        <f t="shared" si="46"/>
        <v>11307798.449999999</v>
      </c>
      <c r="J83" s="435">
        <f t="shared" ref="J83:J92" si="50">H83-I83</f>
        <v>0</v>
      </c>
      <c r="K83" s="435">
        <f t="shared" ref="K83:K88" si="51">N83+R83+V83+Z83+AD83+AH83+AL83+AP83+AT83+AX83+BB83+BG83</f>
        <v>0</v>
      </c>
      <c r="L83" s="436"/>
      <c r="M83" s="437"/>
      <c r="N83" s="436"/>
      <c r="O83" s="438"/>
      <c r="P83" s="436"/>
      <c r="Q83" s="543"/>
      <c r="R83" s="436"/>
      <c r="S83" s="544"/>
      <c r="T83" s="436"/>
      <c r="U83" s="437"/>
      <c r="V83" s="436"/>
      <c r="W83" s="234">
        <f t="shared" si="16"/>
        <v>0</v>
      </c>
      <c r="X83" s="436"/>
      <c r="Y83" s="437"/>
      <c r="Z83" s="436"/>
      <c r="AA83" s="234">
        <f t="shared" si="17"/>
        <v>0</v>
      </c>
      <c r="AB83" s="436"/>
      <c r="AC83" s="437"/>
      <c r="AD83" s="545"/>
      <c r="AE83" s="234">
        <f t="shared" si="33"/>
        <v>0</v>
      </c>
      <c r="AF83" s="436"/>
      <c r="AG83" s="437"/>
      <c r="AH83" s="436"/>
      <c r="AI83" s="234">
        <f t="shared" si="47"/>
        <v>0</v>
      </c>
      <c r="AJ83" s="436">
        <v>11307798.449999999</v>
      </c>
      <c r="AK83" s="437">
        <v>11307798.449999999</v>
      </c>
      <c r="AL83" s="436"/>
      <c r="AM83" s="241">
        <f t="shared" si="36"/>
        <v>-11307798.449999999</v>
      </c>
      <c r="AN83" s="436"/>
      <c r="AO83" s="437"/>
      <c r="AP83" s="436"/>
      <c r="AQ83" s="234">
        <f t="shared" si="48"/>
        <v>0</v>
      </c>
      <c r="AR83" s="436"/>
      <c r="AS83" s="437"/>
      <c r="AT83" s="436"/>
      <c r="AU83" s="234">
        <f t="shared" si="44"/>
        <v>0</v>
      </c>
      <c r="AV83" s="436"/>
      <c r="AW83" s="437"/>
      <c r="AX83" s="436"/>
      <c r="AY83" s="234">
        <f t="shared" ref="AY83:AY89" si="52">AX83-AW83</f>
        <v>0</v>
      </c>
      <c r="AZ83" s="436"/>
      <c r="BA83" s="437"/>
      <c r="BB83" s="436"/>
      <c r="BC83" s="513">
        <f t="shared" si="43"/>
        <v>0</v>
      </c>
      <c r="BD83" s="436"/>
      <c r="BE83" s="436"/>
      <c r="BF83" s="437"/>
      <c r="BG83" s="439"/>
      <c r="BH83" s="438"/>
      <c r="BI83" s="546" t="s">
        <v>446</v>
      </c>
      <c r="BJ83" s="436"/>
      <c r="BK83" s="547"/>
      <c r="BL83" s="501">
        <f t="shared" si="49"/>
        <v>11307798.449999999</v>
      </c>
      <c r="BM83" s="440"/>
      <c r="BN83" s="1180" t="s">
        <v>664</v>
      </c>
      <c r="BO83" s="906"/>
      <c r="BQ83" s="442"/>
    </row>
    <row r="84" spans="1:69" s="441" customFormat="1" ht="24.75" customHeight="1" x14ac:dyDescent="0.2">
      <c r="A84" s="1088"/>
      <c r="B84" s="539" t="s">
        <v>219</v>
      </c>
      <c r="C84" s="540" t="s">
        <v>26</v>
      </c>
      <c r="D84" s="539" t="s">
        <v>12</v>
      </c>
      <c r="E84" s="539" t="s">
        <v>231</v>
      </c>
      <c r="F84" s="539"/>
      <c r="G84" s="541" t="s">
        <v>449</v>
      </c>
      <c r="H84" s="436">
        <v>265492.96000000002</v>
      </c>
      <c r="I84" s="542">
        <f>L84+P84+T84+X84+AB84+AF84+AJ84+AN84+AR84+AV84+AZ84+BD84</f>
        <v>265492.96000000002</v>
      </c>
      <c r="J84" s="435">
        <f t="shared" si="50"/>
        <v>0</v>
      </c>
      <c r="K84" s="435">
        <f t="shared" si="51"/>
        <v>0</v>
      </c>
      <c r="L84" s="436"/>
      <c r="M84" s="437"/>
      <c r="N84" s="436"/>
      <c r="O84" s="438"/>
      <c r="P84" s="436"/>
      <c r="Q84" s="543"/>
      <c r="R84" s="436"/>
      <c r="S84" s="544"/>
      <c r="T84" s="436"/>
      <c r="U84" s="437"/>
      <c r="V84" s="436"/>
      <c r="W84" s="234">
        <f t="shared" si="16"/>
        <v>0</v>
      </c>
      <c r="X84" s="436"/>
      <c r="Y84" s="437"/>
      <c r="Z84" s="436"/>
      <c r="AA84" s="234">
        <f t="shared" si="17"/>
        <v>0</v>
      </c>
      <c r="AB84" s="436"/>
      <c r="AC84" s="437"/>
      <c r="AD84" s="545"/>
      <c r="AE84" s="234">
        <f t="shared" si="33"/>
        <v>0</v>
      </c>
      <c r="AF84" s="436"/>
      <c r="AG84" s="437"/>
      <c r="AH84" s="436"/>
      <c r="AI84" s="234"/>
      <c r="AJ84" s="436">
        <v>265492.96000000002</v>
      </c>
      <c r="AK84" s="437">
        <v>265492.96000000002</v>
      </c>
      <c r="AL84" s="436"/>
      <c r="AM84" s="241">
        <f t="shared" si="36"/>
        <v>-265492.96000000002</v>
      </c>
      <c r="AN84" s="436"/>
      <c r="AO84" s="437"/>
      <c r="AP84" s="436"/>
      <c r="AQ84" s="234">
        <f t="shared" si="48"/>
        <v>0</v>
      </c>
      <c r="AR84" s="436"/>
      <c r="AS84" s="437"/>
      <c r="AT84" s="436"/>
      <c r="AU84" s="234">
        <f t="shared" si="44"/>
        <v>0</v>
      </c>
      <c r="AV84" s="436"/>
      <c r="AW84" s="437"/>
      <c r="AX84" s="436"/>
      <c r="AY84" s="234">
        <f t="shared" si="52"/>
        <v>0</v>
      </c>
      <c r="AZ84" s="436"/>
      <c r="BA84" s="437"/>
      <c r="BB84" s="436"/>
      <c r="BC84" s="513">
        <f t="shared" si="43"/>
        <v>0</v>
      </c>
      <c r="BD84" s="436"/>
      <c r="BE84" s="436"/>
      <c r="BF84" s="437"/>
      <c r="BG84" s="439"/>
      <c r="BH84" s="438"/>
      <c r="BI84" s="546" t="s">
        <v>446</v>
      </c>
      <c r="BJ84" s="436"/>
      <c r="BK84" s="547"/>
      <c r="BL84" s="501">
        <f t="shared" si="49"/>
        <v>265492.96000000002</v>
      </c>
      <c r="BM84" s="440"/>
      <c r="BN84" s="1181"/>
      <c r="BO84" s="906"/>
      <c r="BQ84" s="442"/>
    </row>
    <row r="85" spans="1:69" s="441" customFormat="1" ht="24.75" customHeight="1" x14ac:dyDescent="0.2">
      <c r="A85" s="1088"/>
      <c r="B85" s="548" t="s">
        <v>219</v>
      </c>
      <c r="C85" s="549" t="s">
        <v>26</v>
      </c>
      <c r="D85" s="548" t="s">
        <v>12</v>
      </c>
      <c r="E85" s="548" t="s">
        <v>221</v>
      </c>
      <c r="F85" s="548"/>
      <c r="G85" s="550" t="s">
        <v>449</v>
      </c>
      <c r="H85" s="551">
        <v>27684610</v>
      </c>
      <c r="I85" s="542">
        <f t="shared" si="46"/>
        <v>27684610</v>
      </c>
      <c r="J85" s="435">
        <f t="shared" si="50"/>
        <v>0</v>
      </c>
      <c r="K85" s="435">
        <f t="shared" si="51"/>
        <v>0</v>
      </c>
      <c r="L85" s="436"/>
      <c r="M85" s="437"/>
      <c r="N85" s="436"/>
      <c r="O85" s="438"/>
      <c r="P85" s="436"/>
      <c r="Q85" s="543"/>
      <c r="R85" s="436"/>
      <c r="S85" s="544"/>
      <c r="T85" s="436"/>
      <c r="U85" s="437"/>
      <c r="V85" s="436"/>
      <c r="W85" s="234">
        <f t="shared" si="16"/>
        <v>0</v>
      </c>
      <c r="X85" s="436"/>
      <c r="Y85" s="437"/>
      <c r="Z85" s="436"/>
      <c r="AA85" s="234">
        <f t="shared" si="17"/>
        <v>0</v>
      </c>
      <c r="AB85" s="436"/>
      <c r="AC85" s="437"/>
      <c r="AD85" s="545"/>
      <c r="AE85" s="234">
        <f t="shared" si="33"/>
        <v>0</v>
      </c>
      <c r="AF85" s="436"/>
      <c r="AG85" s="437"/>
      <c r="AH85" s="436"/>
      <c r="AI85" s="234">
        <f t="shared" si="47"/>
        <v>0</v>
      </c>
      <c r="AJ85" s="436">
        <v>27684610</v>
      </c>
      <c r="AK85" s="437">
        <v>27684610</v>
      </c>
      <c r="AL85" s="436"/>
      <c r="AM85" s="241">
        <f t="shared" si="36"/>
        <v>-27684610</v>
      </c>
      <c r="AN85" s="436"/>
      <c r="AO85" s="437"/>
      <c r="AP85" s="436"/>
      <c r="AQ85" s="234">
        <f t="shared" si="48"/>
        <v>0</v>
      </c>
      <c r="AR85" s="436"/>
      <c r="AS85" s="437"/>
      <c r="AT85" s="436"/>
      <c r="AU85" s="234">
        <f t="shared" si="44"/>
        <v>0</v>
      </c>
      <c r="AV85" s="436"/>
      <c r="AW85" s="437"/>
      <c r="AX85" s="436"/>
      <c r="AY85" s="234">
        <f t="shared" si="52"/>
        <v>0</v>
      </c>
      <c r="AZ85" s="436"/>
      <c r="BA85" s="437"/>
      <c r="BB85" s="436"/>
      <c r="BC85" s="513">
        <f t="shared" si="43"/>
        <v>0</v>
      </c>
      <c r="BD85" s="436"/>
      <c r="BE85" s="436"/>
      <c r="BF85" s="437"/>
      <c r="BG85" s="439"/>
      <c r="BH85" s="438"/>
      <c r="BI85" s="546" t="s">
        <v>446</v>
      </c>
      <c r="BJ85" s="436"/>
      <c r="BK85" s="547"/>
      <c r="BL85" s="501">
        <f t="shared" si="49"/>
        <v>27684610</v>
      </c>
      <c r="BM85" s="440"/>
      <c r="BN85" s="1181"/>
      <c r="BO85" s="906"/>
      <c r="BQ85" s="442"/>
    </row>
    <row r="86" spans="1:69" s="441" customFormat="1" ht="24.75" customHeight="1" x14ac:dyDescent="0.2">
      <c r="A86" s="1095"/>
      <c r="B86" s="548" t="s">
        <v>219</v>
      </c>
      <c r="C86" s="549" t="s">
        <v>26</v>
      </c>
      <c r="D86" s="548" t="s">
        <v>12</v>
      </c>
      <c r="E86" s="548" t="s">
        <v>231</v>
      </c>
      <c r="F86" s="548"/>
      <c r="G86" s="550" t="s">
        <v>449</v>
      </c>
      <c r="H86" s="551">
        <v>650000</v>
      </c>
      <c r="I86" s="542">
        <f>L86+P86+T86+X86+AB86+AF86+AJ86+AN86+AR86+AV86+AZ86+BD86</f>
        <v>650000</v>
      </c>
      <c r="J86" s="435">
        <f t="shared" si="50"/>
        <v>0</v>
      </c>
      <c r="K86" s="435">
        <f t="shared" si="51"/>
        <v>0</v>
      </c>
      <c r="L86" s="436"/>
      <c r="M86" s="437"/>
      <c r="N86" s="436"/>
      <c r="O86" s="438"/>
      <c r="P86" s="436"/>
      <c r="Q86" s="543"/>
      <c r="R86" s="436"/>
      <c r="S86" s="544"/>
      <c r="T86" s="436"/>
      <c r="U86" s="437"/>
      <c r="V86" s="436"/>
      <c r="W86" s="234">
        <f t="shared" si="16"/>
        <v>0</v>
      </c>
      <c r="X86" s="436"/>
      <c r="Y86" s="437"/>
      <c r="Z86" s="436"/>
      <c r="AA86" s="234">
        <f t="shared" si="17"/>
        <v>0</v>
      </c>
      <c r="AB86" s="436"/>
      <c r="AC86" s="437"/>
      <c r="AD86" s="545"/>
      <c r="AE86" s="234">
        <f t="shared" si="33"/>
        <v>0</v>
      </c>
      <c r="AF86" s="436"/>
      <c r="AG86" s="437"/>
      <c r="AH86" s="436"/>
      <c r="AI86" s="234"/>
      <c r="AJ86" s="436">
        <v>650000</v>
      </c>
      <c r="AK86" s="437">
        <v>650000</v>
      </c>
      <c r="AL86" s="436"/>
      <c r="AM86" s="241">
        <f t="shared" si="36"/>
        <v>-650000</v>
      </c>
      <c r="AN86" s="436"/>
      <c r="AO86" s="437"/>
      <c r="AP86" s="436"/>
      <c r="AQ86" s="234">
        <f t="shared" si="48"/>
        <v>0</v>
      </c>
      <c r="AR86" s="436"/>
      <c r="AS86" s="437"/>
      <c r="AT86" s="436"/>
      <c r="AU86" s="234">
        <f t="shared" si="44"/>
        <v>0</v>
      </c>
      <c r="AV86" s="436"/>
      <c r="AW86" s="437"/>
      <c r="AX86" s="436"/>
      <c r="AY86" s="234">
        <f t="shared" si="52"/>
        <v>0</v>
      </c>
      <c r="AZ86" s="436"/>
      <c r="BA86" s="437"/>
      <c r="BB86" s="436"/>
      <c r="BC86" s="513">
        <f t="shared" si="43"/>
        <v>0</v>
      </c>
      <c r="BD86" s="436"/>
      <c r="BE86" s="436"/>
      <c r="BF86" s="437"/>
      <c r="BG86" s="439"/>
      <c r="BH86" s="513">
        <f t="shared" ref="BH86:BH92" si="53">BG86-BF86</f>
        <v>0</v>
      </c>
      <c r="BI86" s="546" t="s">
        <v>446</v>
      </c>
      <c r="BJ86" s="436"/>
      <c r="BK86" s="547"/>
      <c r="BL86" s="501">
        <f t="shared" si="49"/>
        <v>650000</v>
      </c>
      <c r="BM86" s="440"/>
      <c r="BN86" s="1182"/>
      <c r="BO86" s="906"/>
      <c r="BQ86" s="442"/>
    </row>
    <row r="87" spans="1:69" s="441" customFormat="1" ht="24.75" customHeight="1" x14ac:dyDescent="0.2">
      <c r="A87" s="1087" t="s">
        <v>383</v>
      </c>
      <c r="B87" s="539" t="s">
        <v>219</v>
      </c>
      <c r="C87" s="540" t="s">
        <v>26</v>
      </c>
      <c r="D87" s="539" t="s">
        <v>12</v>
      </c>
      <c r="E87" s="539" t="s">
        <v>221</v>
      </c>
      <c r="F87" s="539"/>
      <c r="G87" s="541" t="s">
        <v>449</v>
      </c>
      <c r="H87" s="436">
        <v>10537946.48</v>
      </c>
      <c r="I87" s="542">
        <f t="shared" si="46"/>
        <v>10537946.48</v>
      </c>
      <c r="J87" s="435">
        <f t="shared" si="50"/>
        <v>0</v>
      </c>
      <c r="K87" s="435">
        <f t="shared" si="51"/>
        <v>2528555.5699999998</v>
      </c>
      <c r="L87" s="436"/>
      <c r="M87" s="437"/>
      <c r="N87" s="436"/>
      <c r="O87" s="438"/>
      <c r="P87" s="436"/>
      <c r="Q87" s="543"/>
      <c r="R87" s="436"/>
      <c r="S87" s="544"/>
      <c r="T87" s="436">
        <v>2430408.79</v>
      </c>
      <c r="U87" s="437">
        <v>2430408.79</v>
      </c>
      <c r="V87" s="436">
        <v>2430408.79</v>
      </c>
      <c r="W87" s="234">
        <f>V87-U87</f>
        <v>0</v>
      </c>
      <c r="X87" s="436"/>
      <c r="Y87" s="437"/>
      <c r="Z87" s="436"/>
      <c r="AA87" s="234">
        <f t="shared" ref="AA87:AA100" si="54">Z87-Y87</f>
        <v>0</v>
      </c>
      <c r="AB87" s="436">
        <v>98146.78</v>
      </c>
      <c r="AC87" s="437">
        <v>98146.78</v>
      </c>
      <c r="AD87" s="545">
        <v>98146.78</v>
      </c>
      <c r="AE87" s="234">
        <f t="shared" si="33"/>
        <v>0</v>
      </c>
      <c r="AF87" s="436"/>
      <c r="AG87" s="437"/>
      <c r="AH87" s="436"/>
      <c r="AI87" s="234">
        <f t="shared" si="47"/>
        <v>0</v>
      </c>
      <c r="AJ87" s="436"/>
      <c r="AK87" s="437"/>
      <c r="AL87" s="436"/>
      <c r="AM87" s="241">
        <f t="shared" si="36"/>
        <v>0</v>
      </c>
      <c r="AN87" s="436"/>
      <c r="AO87" s="437"/>
      <c r="AP87" s="436"/>
      <c r="AQ87" s="234">
        <f>AP87-AO87</f>
        <v>0</v>
      </c>
      <c r="AR87" s="436"/>
      <c r="AS87" s="437"/>
      <c r="AT87" s="436"/>
      <c r="AU87" s="234">
        <f t="shared" si="44"/>
        <v>0</v>
      </c>
      <c r="AV87" s="436"/>
      <c r="AW87" s="437"/>
      <c r="AX87" s="436"/>
      <c r="AY87" s="234">
        <f t="shared" si="52"/>
        <v>0</v>
      </c>
      <c r="AZ87" s="436"/>
      <c r="BA87" s="437"/>
      <c r="BB87" s="436"/>
      <c r="BC87" s="513">
        <f t="shared" si="43"/>
        <v>0</v>
      </c>
      <c r="BD87" s="436">
        <v>8009390.9100000001</v>
      </c>
      <c r="BE87" s="436"/>
      <c r="BF87" s="437"/>
      <c r="BG87" s="439"/>
      <c r="BH87" s="513">
        <f t="shared" si="53"/>
        <v>0</v>
      </c>
      <c r="BI87" s="546" t="s">
        <v>446</v>
      </c>
      <c r="BJ87" s="436"/>
      <c r="BK87" s="547"/>
      <c r="BL87" s="501">
        <f t="shared" si="49"/>
        <v>10537946.48</v>
      </c>
      <c r="BM87" s="440"/>
      <c r="BN87" s="435"/>
      <c r="BO87" s="899"/>
      <c r="BQ87" s="442"/>
    </row>
    <row r="88" spans="1:69" s="441" customFormat="1" ht="24.75" customHeight="1" x14ac:dyDescent="0.2">
      <c r="A88" s="1088"/>
      <c r="B88" s="548" t="s">
        <v>219</v>
      </c>
      <c r="C88" s="549" t="s">
        <v>26</v>
      </c>
      <c r="D88" s="548" t="s">
        <v>12</v>
      </c>
      <c r="E88" s="548" t="s">
        <v>221</v>
      </c>
      <c r="F88" s="548"/>
      <c r="G88" s="550" t="s">
        <v>449</v>
      </c>
      <c r="H88" s="551">
        <v>25799800</v>
      </c>
      <c r="I88" s="542">
        <f t="shared" si="46"/>
        <v>25799800</v>
      </c>
      <c r="J88" s="435">
        <f t="shared" si="50"/>
        <v>0</v>
      </c>
      <c r="K88" s="435">
        <f t="shared" si="51"/>
        <v>6190601.5700000003</v>
      </c>
      <c r="L88" s="436"/>
      <c r="M88" s="437"/>
      <c r="N88" s="436"/>
      <c r="O88" s="438"/>
      <c r="P88" s="436"/>
      <c r="Q88" s="543"/>
      <c r="R88" s="436"/>
      <c r="S88" s="544"/>
      <c r="T88" s="436">
        <v>5950311.1900000004</v>
      </c>
      <c r="U88" s="437">
        <v>5950311.1900000004</v>
      </c>
      <c r="V88" s="436">
        <v>5950311.1900000004</v>
      </c>
      <c r="W88" s="234">
        <f>V88-U88</f>
        <v>0</v>
      </c>
      <c r="X88" s="436"/>
      <c r="Y88" s="437"/>
      <c r="Z88" s="436"/>
      <c r="AA88" s="234">
        <f t="shared" si="54"/>
        <v>0</v>
      </c>
      <c r="AB88" s="436">
        <v>240290.38</v>
      </c>
      <c r="AC88" s="437">
        <v>240290.38</v>
      </c>
      <c r="AD88" s="545">
        <v>240290.38</v>
      </c>
      <c r="AE88" s="234">
        <f t="shared" si="33"/>
        <v>0</v>
      </c>
      <c r="AF88" s="436"/>
      <c r="AG88" s="437"/>
      <c r="AH88" s="436"/>
      <c r="AI88" s="234">
        <f t="shared" si="47"/>
        <v>0</v>
      </c>
      <c r="AJ88" s="436"/>
      <c r="AK88" s="437"/>
      <c r="AL88" s="436"/>
      <c r="AM88" s="241">
        <f t="shared" si="36"/>
        <v>0</v>
      </c>
      <c r="AN88" s="436"/>
      <c r="AO88" s="437"/>
      <c r="AP88" s="436"/>
      <c r="AQ88" s="234">
        <f>AP88-AO88</f>
        <v>0</v>
      </c>
      <c r="AR88" s="436"/>
      <c r="AS88" s="437"/>
      <c r="AT88" s="436"/>
      <c r="AU88" s="234">
        <f t="shared" si="44"/>
        <v>0</v>
      </c>
      <c r="AV88" s="436"/>
      <c r="AW88" s="437"/>
      <c r="AX88" s="436"/>
      <c r="AY88" s="234">
        <f t="shared" si="52"/>
        <v>0</v>
      </c>
      <c r="AZ88" s="436"/>
      <c r="BA88" s="437"/>
      <c r="BB88" s="436"/>
      <c r="BC88" s="513">
        <f t="shared" si="43"/>
        <v>0</v>
      </c>
      <c r="BD88" s="436">
        <v>19609198.43</v>
      </c>
      <c r="BE88" s="436"/>
      <c r="BF88" s="437"/>
      <c r="BG88" s="439"/>
      <c r="BH88" s="513">
        <f t="shared" si="53"/>
        <v>0</v>
      </c>
      <c r="BI88" s="546" t="s">
        <v>446</v>
      </c>
      <c r="BJ88" s="436"/>
      <c r="BK88" s="547"/>
      <c r="BL88" s="501">
        <f t="shared" si="49"/>
        <v>25799800</v>
      </c>
      <c r="BM88" s="440"/>
      <c r="BN88" s="435"/>
      <c r="BO88" s="899"/>
      <c r="BQ88" s="442"/>
    </row>
    <row r="89" spans="1:69" ht="25.5" customHeight="1" x14ac:dyDescent="0.2">
      <c r="A89" s="1082" t="s">
        <v>384</v>
      </c>
      <c r="B89" s="232" t="s">
        <v>219</v>
      </c>
      <c r="C89" s="532" t="s">
        <v>47</v>
      </c>
      <c r="D89" s="232" t="s">
        <v>12</v>
      </c>
      <c r="E89" s="232" t="s">
        <v>223</v>
      </c>
      <c r="F89" s="430" t="s">
        <v>14</v>
      </c>
      <c r="G89" s="242" t="s">
        <v>450</v>
      </c>
      <c r="H89" s="202">
        <f>9503707.94-100-7658000</f>
        <v>1845607.9399999995</v>
      </c>
      <c r="I89" s="518">
        <f t="shared" si="46"/>
        <v>1845607.9399999995</v>
      </c>
      <c r="J89" s="164">
        <f t="shared" si="50"/>
        <v>0</v>
      </c>
      <c r="K89" s="164">
        <f>N89+R89+V89+Z89+AD89+AH89+AL89+AP89+AT89+AX89+BB89+BG89</f>
        <v>0</v>
      </c>
      <c r="L89" s="202"/>
      <c r="M89" s="233"/>
      <c r="N89" s="202"/>
      <c r="O89" s="234"/>
      <c r="P89" s="202"/>
      <c r="Q89" s="512"/>
      <c r="R89" s="202"/>
      <c r="S89" s="241"/>
      <c r="T89" s="202"/>
      <c r="U89" s="233"/>
      <c r="V89" s="202"/>
      <c r="W89" s="234">
        <f>V89-U89</f>
        <v>0</v>
      </c>
      <c r="X89" s="501"/>
      <c r="Y89" s="233"/>
      <c r="Z89" s="202"/>
      <c r="AA89" s="234">
        <f t="shared" si="54"/>
        <v>0</v>
      </c>
      <c r="AB89" s="202"/>
      <c r="AC89" s="233"/>
      <c r="AD89" s="522"/>
      <c r="AE89" s="234">
        <f t="shared" ref="AE89:AE100" si="55">AD89-AC89</f>
        <v>0</v>
      </c>
      <c r="AF89" s="202"/>
      <c r="AG89" s="233"/>
      <c r="AH89" s="202"/>
      <c r="AI89" s="234">
        <f t="shared" si="47"/>
        <v>0</v>
      </c>
      <c r="AJ89" s="202"/>
      <c r="AK89" s="233"/>
      <c r="AL89" s="202"/>
      <c r="AM89" s="241">
        <f t="shared" si="36"/>
        <v>0</v>
      </c>
      <c r="AN89" s="202"/>
      <c r="AO89" s="233"/>
      <c r="AP89" s="202"/>
      <c r="AQ89" s="234">
        <f>AP89-AO89</f>
        <v>0</v>
      </c>
      <c r="AR89" s="202"/>
      <c r="AS89" s="233"/>
      <c r="AT89" s="202"/>
      <c r="AU89" s="234"/>
      <c r="AV89" s="202"/>
      <c r="AW89" s="233"/>
      <c r="AX89" s="202"/>
      <c r="AY89" s="234">
        <f t="shared" si="52"/>
        <v>0</v>
      </c>
      <c r="AZ89" s="202"/>
      <c r="BA89" s="233"/>
      <c r="BB89" s="202"/>
      <c r="BC89" s="513">
        <f t="shared" si="43"/>
        <v>0</v>
      </c>
      <c r="BD89" s="202">
        <f>9503607.94-7658000</f>
        <v>1845607.9399999995</v>
      </c>
      <c r="BE89" s="202"/>
      <c r="BF89" s="233"/>
      <c r="BG89" s="236"/>
      <c r="BH89" s="513">
        <f t="shared" si="53"/>
        <v>0</v>
      </c>
      <c r="BI89" s="526"/>
      <c r="BJ89" s="202"/>
      <c r="BK89" s="202"/>
      <c r="BL89" s="501">
        <f>H89+BJ89+BK89</f>
        <v>1845607.9399999995</v>
      </c>
      <c r="BM89" s="158"/>
      <c r="BN89" s="783"/>
      <c r="BO89" s="132"/>
      <c r="BQ89" s="230" t="str">
        <f t="shared" ref="BQ89:BQ110" si="56">IF(BJ89&gt;0,BJ89,"")</f>
        <v/>
      </c>
    </row>
    <row r="90" spans="1:69" ht="25.5" customHeight="1" x14ac:dyDescent="0.2">
      <c r="A90" s="1083"/>
      <c r="B90" s="232" t="s">
        <v>219</v>
      </c>
      <c r="C90" s="532" t="s">
        <v>47</v>
      </c>
      <c r="D90" s="232" t="s">
        <v>12</v>
      </c>
      <c r="E90" s="232" t="s">
        <v>327</v>
      </c>
      <c r="F90" s="430" t="s">
        <v>14</v>
      </c>
      <c r="G90" s="242" t="s">
        <v>450</v>
      </c>
      <c r="H90" s="202">
        <v>4342092.0599999996</v>
      </c>
      <c r="I90" s="518">
        <f>L90+P90+T90+X90+AB90+AF90+AJ90+AN90+AR90+AV90+AZ90+BD90</f>
        <v>4342092.0599999996</v>
      </c>
      <c r="J90" s="164">
        <f t="shared" si="50"/>
        <v>0</v>
      </c>
      <c r="K90" s="164">
        <f>N90+R90+V90+Z90+AD90+AH90+AL90+AP90+AT90+AX90+BB90+BG90</f>
        <v>0</v>
      </c>
      <c r="L90" s="202"/>
      <c r="M90" s="233"/>
      <c r="N90" s="202"/>
      <c r="O90" s="234"/>
      <c r="P90" s="202"/>
      <c r="Q90" s="512"/>
      <c r="R90" s="202"/>
      <c r="S90" s="241"/>
      <c r="T90" s="202"/>
      <c r="U90" s="233"/>
      <c r="V90" s="202"/>
      <c r="W90" s="234">
        <f>V90-U90</f>
        <v>0</v>
      </c>
      <c r="X90" s="501"/>
      <c r="Y90" s="233"/>
      <c r="Z90" s="202"/>
      <c r="AA90" s="234">
        <f t="shared" si="54"/>
        <v>0</v>
      </c>
      <c r="AB90" s="202"/>
      <c r="AC90" s="233"/>
      <c r="AD90" s="522"/>
      <c r="AE90" s="234">
        <f t="shared" si="55"/>
        <v>0</v>
      </c>
      <c r="AF90" s="202"/>
      <c r="AG90" s="233"/>
      <c r="AH90" s="202"/>
      <c r="AI90" s="234">
        <f t="shared" si="47"/>
        <v>0</v>
      </c>
      <c r="AJ90" s="202"/>
      <c r="AK90" s="233"/>
      <c r="AL90" s="202"/>
      <c r="AM90" s="241">
        <f t="shared" si="36"/>
        <v>0</v>
      </c>
      <c r="AN90" s="202"/>
      <c r="AO90" s="233"/>
      <c r="AP90" s="202"/>
      <c r="AQ90" s="234"/>
      <c r="AR90" s="202"/>
      <c r="AS90" s="233"/>
      <c r="AT90" s="202"/>
      <c r="AU90" s="234"/>
      <c r="AV90" s="202"/>
      <c r="AW90" s="233"/>
      <c r="AX90" s="202"/>
      <c r="AY90" s="234"/>
      <c r="AZ90" s="202"/>
      <c r="BA90" s="233"/>
      <c r="BB90" s="202"/>
      <c r="BC90" s="513"/>
      <c r="BD90" s="202">
        <v>4342092.0599999996</v>
      </c>
      <c r="BE90" s="202"/>
      <c r="BF90" s="233"/>
      <c r="BG90" s="236"/>
      <c r="BH90" s="513">
        <f t="shared" si="53"/>
        <v>0</v>
      </c>
      <c r="BI90" s="526"/>
      <c r="BJ90" s="202"/>
      <c r="BK90" s="202"/>
      <c r="BL90" s="501">
        <f t="shared" si="49"/>
        <v>4342092.0599999996</v>
      </c>
      <c r="BM90" s="158"/>
      <c r="BN90" s="783"/>
      <c r="BO90" s="132"/>
      <c r="BQ90" s="230"/>
    </row>
    <row r="91" spans="1:69" ht="25.5" customHeight="1" x14ac:dyDescent="0.2">
      <c r="A91" s="1083"/>
      <c r="B91" s="533" t="s">
        <v>219</v>
      </c>
      <c r="C91" s="538" t="s">
        <v>47</v>
      </c>
      <c r="D91" s="533" t="s">
        <v>12</v>
      </c>
      <c r="E91" s="533" t="s">
        <v>223</v>
      </c>
      <c r="F91" s="535" t="s">
        <v>16</v>
      </c>
      <c r="G91" s="536" t="s">
        <v>450</v>
      </c>
      <c r="H91" s="537"/>
      <c r="I91" s="518">
        <f>L91+P91+T91+X91+AB91+AF91+AJ91+AN91+AR91+AV91+AZ91+BD91</f>
        <v>0</v>
      </c>
      <c r="J91" s="164">
        <f t="shared" si="50"/>
        <v>0</v>
      </c>
      <c r="K91" s="164">
        <f>N91+R91+V91+Z91+AD91+AH91+AL91+AP91+AT91+AX91+BB91+BG91</f>
        <v>0</v>
      </c>
      <c r="L91" s="202"/>
      <c r="M91" s="233"/>
      <c r="N91" s="202"/>
      <c r="O91" s="234"/>
      <c r="P91" s="202"/>
      <c r="Q91" s="512"/>
      <c r="R91" s="202"/>
      <c r="S91" s="241"/>
      <c r="T91" s="202"/>
      <c r="U91" s="233"/>
      <c r="V91" s="202"/>
      <c r="W91" s="234">
        <f>V91-U91</f>
        <v>0</v>
      </c>
      <c r="X91" s="501"/>
      <c r="Y91" s="233"/>
      <c r="Z91" s="202"/>
      <c r="AA91" s="234">
        <f t="shared" si="54"/>
        <v>0</v>
      </c>
      <c r="AB91" s="202"/>
      <c r="AC91" s="233"/>
      <c r="AD91" s="522"/>
      <c r="AE91" s="234">
        <f t="shared" si="55"/>
        <v>0</v>
      </c>
      <c r="AF91" s="202"/>
      <c r="AG91" s="233"/>
      <c r="AH91" s="202"/>
      <c r="AI91" s="234">
        <f t="shared" si="47"/>
        <v>0</v>
      </c>
      <c r="AJ91" s="202"/>
      <c r="AK91" s="233"/>
      <c r="AL91" s="202"/>
      <c r="AM91" s="241">
        <f t="shared" si="36"/>
        <v>0</v>
      </c>
      <c r="AN91" s="202"/>
      <c r="AO91" s="233"/>
      <c r="AP91" s="202"/>
      <c r="AQ91" s="234"/>
      <c r="AR91" s="202"/>
      <c r="AS91" s="233"/>
      <c r="AT91" s="202"/>
      <c r="AU91" s="234"/>
      <c r="AV91" s="202"/>
      <c r="AW91" s="233"/>
      <c r="AX91" s="202"/>
      <c r="AY91" s="234"/>
      <c r="AZ91" s="202"/>
      <c r="BA91" s="233"/>
      <c r="BB91" s="202"/>
      <c r="BC91" s="513"/>
      <c r="BD91" s="202"/>
      <c r="BE91" s="202"/>
      <c r="BF91" s="233"/>
      <c r="BG91" s="236"/>
      <c r="BH91" s="513">
        <f t="shared" si="53"/>
        <v>0</v>
      </c>
      <c r="BI91" s="526"/>
      <c r="BJ91" s="202"/>
      <c r="BK91" s="202"/>
      <c r="BL91" s="501">
        <f t="shared" si="49"/>
        <v>0</v>
      </c>
      <c r="BM91" s="158"/>
      <c r="BN91" s="783"/>
      <c r="BO91" s="132"/>
      <c r="BQ91" s="230"/>
    </row>
    <row r="92" spans="1:69" ht="27.75" customHeight="1" x14ac:dyDescent="0.2">
      <c r="A92" s="1083"/>
      <c r="B92" s="533" t="s">
        <v>219</v>
      </c>
      <c r="C92" s="538" t="s">
        <v>47</v>
      </c>
      <c r="D92" s="533" t="s">
        <v>12</v>
      </c>
      <c r="E92" s="533" t="s">
        <v>327</v>
      </c>
      <c r="F92" s="535" t="s">
        <v>16</v>
      </c>
      <c r="G92" s="536" t="s">
        <v>450</v>
      </c>
      <c r="H92" s="537"/>
      <c r="I92" s="518">
        <f t="shared" si="46"/>
        <v>0</v>
      </c>
      <c r="J92" s="164">
        <f t="shared" si="50"/>
        <v>0</v>
      </c>
      <c r="K92" s="164">
        <f>N92+R92+V92+Z92+AD92+AH92+AL92+AP92+AT92+AX92+BB92+BG92</f>
        <v>0</v>
      </c>
      <c r="L92" s="202"/>
      <c r="M92" s="233"/>
      <c r="N92" s="202"/>
      <c r="O92" s="234"/>
      <c r="P92" s="202"/>
      <c r="Q92" s="512"/>
      <c r="R92" s="202"/>
      <c r="S92" s="241"/>
      <c r="T92" s="202"/>
      <c r="U92" s="233"/>
      <c r="V92" s="202"/>
      <c r="W92" s="234"/>
      <c r="X92" s="501"/>
      <c r="Y92" s="233"/>
      <c r="Z92" s="202"/>
      <c r="AA92" s="234">
        <f t="shared" si="54"/>
        <v>0</v>
      </c>
      <c r="AB92" s="202"/>
      <c r="AC92" s="233"/>
      <c r="AD92" s="522"/>
      <c r="AE92" s="234">
        <f t="shared" si="55"/>
        <v>0</v>
      </c>
      <c r="AF92" s="202"/>
      <c r="AG92" s="233"/>
      <c r="AH92" s="202"/>
      <c r="AI92" s="234">
        <f t="shared" si="47"/>
        <v>0</v>
      </c>
      <c r="AJ92" s="202"/>
      <c r="AK92" s="233"/>
      <c r="AL92" s="202"/>
      <c r="AM92" s="241">
        <f t="shared" si="36"/>
        <v>0</v>
      </c>
      <c r="AN92" s="202"/>
      <c r="AO92" s="233"/>
      <c r="AP92" s="202"/>
      <c r="AQ92" s="234">
        <f>AP92-AO92</f>
        <v>0</v>
      </c>
      <c r="AR92" s="202"/>
      <c r="AS92" s="233"/>
      <c r="AT92" s="202"/>
      <c r="AU92" s="234"/>
      <c r="AV92" s="202"/>
      <c r="AW92" s="233"/>
      <c r="AX92" s="202"/>
      <c r="AY92" s="234"/>
      <c r="AZ92" s="202"/>
      <c r="BA92" s="233"/>
      <c r="BB92" s="202"/>
      <c r="BC92" s="513">
        <f t="shared" si="43"/>
        <v>0</v>
      </c>
      <c r="BD92" s="202"/>
      <c r="BE92" s="202"/>
      <c r="BF92" s="233"/>
      <c r="BG92" s="236"/>
      <c r="BH92" s="513">
        <f t="shared" si="53"/>
        <v>0</v>
      </c>
      <c r="BI92" s="526"/>
      <c r="BJ92" s="202"/>
      <c r="BK92" s="202"/>
      <c r="BL92" s="501">
        <f t="shared" si="49"/>
        <v>0</v>
      </c>
      <c r="BM92" s="158"/>
      <c r="BN92" s="783"/>
      <c r="BO92" s="132"/>
      <c r="BQ92" s="230" t="str">
        <f t="shared" si="56"/>
        <v/>
      </c>
    </row>
    <row r="93" spans="1:69" ht="27.75" customHeight="1" x14ac:dyDescent="0.2">
      <c r="A93" s="1082" t="s">
        <v>585</v>
      </c>
      <c r="B93" s="232" t="s">
        <v>219</v>
      </c>
      <c r="C93" s="839" t="s">
        <v>603</v>
      </c>
      <c r="D93" s="232" t="s">
        <v>328</v>
      </c>
      <c r="E93" s="232" t="s">
        <v>327</v>
      </c>
      <c r="F93" s="430" t="s">
        <v>14</v>
      </c>
      <c r="G93" s="242" t="s">
        <v>606</v>
      </c>
      <c r="H93" s="202">
        <v>543300</v>
      </c>
      <c r="I93" s="518">
        <f t="shared" ref="I93:I100" si="57">L93+P93+T93+X93+AB93+AF93+AJ93+AN93+AR93+AV93+AZ93+BD93</f>
        <v>543300.00018036272</v>
      </c>
      <c r="J93" s="164">
        <f t="shared" ref="J93:J100" si="58">H93-I93</f>
        <v>-1.8036272376775742E-4</v>
      </c>
      <c r="K93" s="164">
        <f t="shared" ref="K93:K100" si="59">N93+R93+V93+Z93+AD93+AH93+AL93+AP93+AT93+AX93+BB93+BG93</f>
        <v>0</v>
      </c>
      <c r="L93" s="202"/>
      <c r="M93" s="233"/>
      <c r="N93" s="202"/>
      <c r="O93" s="234"/>
      <c r="P93" s="202"/>
      <c r="Q93" s="512"/>
      <c r="R93" s="202"/>
      <c r="S93" s="241"/>
      <c r="T93" s="202"/>
      <c r="U93" s="233"/>
      <c r="V93" s="202"/>
      <c r="W93" s="234"/>
      <c r="X93" s="501"/>
      <c r="Y93" s="233"/>
      <c r="Z93" s="202"/>
      <c r="AA93" s="234">
        <f t="shared" si="54"/>
        <v>0</v>
      </c>
      <c r="AB93" s="202"/>
      <c r="AC93" s="233"/>
      <c r="AD93" s="522"/>
      <c r="AE93" s="234">
        <f t="shared" si="55"/>
        <v>0</v>
      </c>
      <c r="AF93" s="202"/>
      <c r="AG93" s="233"/>
      <c r="AH93" s="202"/>
      <c r="AI93" s="234">
        <f t="shared" si="47"/>
        <v>0</v>
      </c>
      <c r="AJ93" s="202"/>
      <c r="AK93" s="233"/>
      <c r="AL93" s="202"/>
      <c r="AM93" s="241">
        <f t="shared" si="36"/>
        <v>0</v>
      </c>
      <c r="AN93" s="202"/>
      <c r="AO93" s="233"/>
      <c r="AP93" s="202"/>
      <c r="AQ93" s="234"/>
      <c r="AR93" s="202"/>
      <c r="AS93" s="233"/>
      <c r="AT93" s="202"/>
      <c r="AU93" s="234"/>
      <c r="AV93" s="202"/>
      <c r="AW93" s="233"/>
      <c r="AX93" s="202"/>
      <c r="AY93" s="234"/>
      <c r="AZ93" s="202"/>
      <c r="BA93" s="233"/>
      <c r="BB93" s="202"/>
      <c r="BC93" s="513"/>
      <c r="BD93" s="202">
        <v>543300.00018036272</v>
      </c>
      <c r="BE93" s="202"/>
      <c r="BF93" s="233"/>
      <c r="BG93" s="236"/>
      <c r="BH93" s="513"/>
      <c r="BI93" s="526"/>
      <c r="BJ93" s="202"/>
      <c r="BK93" s="202"/>
      <c r="BL93" s="501">
        <f t="shared" si="49"/>
        <v>543300</v>
      </c>
      <c r="BM93" s="158"/>
      <c r="BN93" s="826"/>
      <c r="BO93" s="1172" t="s">
        <v>640</v>
      </c>
      <c r="BQ93" s="230"/>
    </row>
    <row r="94" spans="1:69" ht="27.75" customHeight="1" x14ac:dyDescent="0.2">
      <c r="A94" s="1083"/>
      <c r="B94" s="232" t="s">
        <v>219</v>
      </c>
      <c r="C94" s="839" t="s">
        <v>603</v>
      </c>
      <c r="D94" s="232" t="s">
        <v>12</v>
      </c>
      <c r="E94" s="232" t="s">
        <v>225</v>
      </c>
      <c r="F94" s="430" t="s">
        <v>14</v>
      </c>
      <c r="G94" s="242" t="s">
        <v>606</v>
      </c>
      <c r="H94" s="202"/>
      <c r="I94" s="518">
        <f t="shared" ref="I94" si="60">L94+P94+T94+X94+AB94+AF94+AJ94+AN94+AR94+AV94+AZ94+BD94</f>
        <v>0</v>
      </c>
      <c r="J94" s="1011">
        <f t="shared" ref="J94" si="61">H94-I94</f>
        <v>0</v>
      </c>
      <c r="K94" s="1011"/>
      <c r="L94" s="202"/>
      <c r="M94" s="233"/>
      <c r="N94" s="202"/>
      <c r="O94" s="234"/>
      <c r="P94" s="202"/>
      <c r="Q94" s="512"/>
      <c r="R94" s="202"/>
      <c r="S94" s="241"/>
      <c r="T94" s="202"/>
      <c r="U94" s="233"/>
      <c r="V94" s="202"/>
      <c r="W94" s="234"/>
      <c r="X94" s="501"/>
      <c r="Y94" s="233"/>
      <c r="Z94" s="202"/>
      <c r="AA94" s="234"/>
      <c r="AB94" s="202"/>
      <c r="AC94" s="233"/>
      <c r="AD94" s="522"/>
      <c r="AE94" s="234"/>
      <c r="AF94" s="202"/>
      <c r="AG94" s="233"/>
      <c r="AH94" s="202"/>
      <c r="AI94" s="234"/>
      <c r="AJ94" s="202"/>
      <c r="AK94" s="233"/>
      <c r="AL94" s="202"/>
      <c r="AM94" s="241"/>
      <c r="AN94" s="202"/>
      <c r="AO94" s="233"/>
      <c r="AP94" s="202"/>
      <c r="AQ94" s="234"/>
      <c r="AR94" s="202"/>
      <c r="AS94" s="233"/>
      <c r="AT94" s="202"/>
      <c r="AU94" s="234"/>
      <c r="AV94" s="202"/>
      <c r="AW94" s="233"/>
      <c r="AX94" s="202"/>
      <c r="AY94" s="234"/>
      <c r="AZ94" s="202"/>
      <c r="BA94" s="233"/>
      <c r="BB94" s="202"/>
      <c r="BC94" s="513"/>
      <c r="BD94" s="202"/>
      <c r="BE94" s="202"/>
      <c r="BF94" s="233"/>
      <c r="BG94" s="236"/>
      <c r="BH94" s="513"/>
      <c r="BI94" s="526"/>
      <c r="BJ94" s="202"/>
      <c r="BK94" s="202"/>
      <c r="BL94" s="501"/>
      <c r="BM94" s="158"/>
      <c r="BN94" s="1017"/>
      <c r="BO94" s="1173"/>
      <c r="BQ94" s="230"/>
    </row>
    <row r="95" spans="1:69" ht="27.75" customHeight="1" x14ac:dyDescent="0.2">
      <c r="A95" s="1083"/>
      <c r="B95" s="232" t="s">
        <v>219</v>
      </c>
      <c r="C95" s="839" t="s">
        <v>603</v>
      </c>
      <c r="D95" s="232" t="s">
        <v>12</v>
      </c>
      <c r="E95" s="232" t="s">
        <v>223</v>
      </c>
      <c r="F95" s="430" t="s">
        <v>14</v>
      </c>
      <c r="G95" s="242" t="s">
        <v>606</v>
      </c>
      <c r="H95" s="202">
        <v>12214200</v>
      </c>
      <c r="I95" s="518">
        <f t="shared" si="57"/>
        <v>12214200</v>
      </c>
      <c r="J95" s="164">
        <f t="shared" si="58"/>
        <v>0</v>
      </c>
      <c r="K95" s="164">
        <f t="shared" si="59"/>
        <v>0</v>
      </c>
      <c r="L95" s="202"/>
      <c r="M95" s="233"/>
      <c r="N95" s="202"/>
      <c r="O95" s="234"/>
      <c r="P95" s="202"/>
      <c r="Q95" s="512"/>
      <c r="R95" s="202"/>
      <c r="S95" s="241"/>
      <c r="T95" s="202"/>
      <c r="U95" s="233"/>
      <c r="V95" s="202"/>
      <c r="W95" s="234"/>
      <c r="X95" s="501"/>
      <c r="Y95" s="233"/>
      <c r="Z95" s="202"/>
      <c r="AA95" s="234">
        <f t="shared" si="54"/>
        <v>0</v>
      </c>
      <c r="AB95" s="202"/>
      <c r="AC95" s="233"/>
      <c r="AD95" s="522"/>
      <c r="AE95" s="234">
        <f t="shared" si="55"/>
        <v>0</v>
      </c>
      <c r="AF95" s="202"/>
      <c r="AG95" s="233"/>
      <c r="AH95" s="202"/>
      <c r="AI95" s="234">
        <f t="shared" si="47"/>
        <v>0</v>
      </c>
      <c r="AJ95" s="202">
        <v>2499995.4</v>
      </c>
      <c r="AK95" s="233">
        <v>2499995.4</v>
      </c>
      <c r="AL95" s="202"/>
      <c r="AM95" s="241">
        <f t="shared" si="36"/>
        <v>-2499995.4</v>
      </c>
      <c r="AN95" s="202">
        <v>2499995.4</v>
      </c>
      <c r="AO95" s="233"/>
      <c r="AP95" s="202"/>
      <c r="AQ95" s="234"/>
      <c r="AR95" s="202">
        <v>3499993.56</v>
      </c>
      <c r="AS95" s="233"/>
      <c r="AT95" s="202"/>
      <c r="AU95" s="234"/>
      <c r="AV95" s="202">
        <v>514227.42</v>
      </c>
      <c r="AW95" s="233"/>
      <c r="AX95" s="202"/>
      <c r="AY95" s="234"/>
      <c r="AZ95" s="202">
        <v>3199988.22</v>
      </c>
      <c r="BA95" s="233"/>
      <c r="BB95" s="202"/>
      <c r="BC95" s="513"/>
      <c r="BD95" s="202"/>
      <c r="BE95" s="202"/>
      <c r="BF95" s="233"/>
      <c r="BG95" s="236"/>
      <c r="BH95" s="513"/>
      <c r="BI95" s="526"/>
      <c r="BJ95" s="202"/>
      <c r="BK95" s="202"/>
      <c r="BL95" s="501">
        <f t="shared" si="49"/>
        <v>12214200</v>
      </c>
      <c r="BM95" s="158"/>
      <c r="BN95" s="1080" t="s">
        <v>661</v>
      </c>
      <c r="BO95" s="1173"/>
      <c r="BQ95" s="230"/>
    </row>
    <row r="96" spans="1:69" ht="27.75" customHeight="1" x14ac:dyDescent="0.2">
      <c r="A96" s="1083"/>
      <c r="B96" s="232" t="s">
        <v>219</v>
      </c>
      <c r="C96" s="839" t="s">
        <v>603</v>
      </c>
      <c r="D96" s="232" t="s">
        <v>12</v>
      </c>
      <c r="E96" s="232" t="s">
        <v>327</v>
      </c>
      <c r="F96" s="430" t="s">
        <v>14</v>
      </c>
      <c r="G96" s="242" t="s">
        <v>606</v>
      </c>
      <c r="H96" s="202">
        <v>41577400</v>
      </c>
      <c r="I96" s="518">
        <f t="shared" si="57"/>
        <v>41577400</v>
      </c>
      <c r="J96" s="164">
        <f t="shared" si="58"/>
        <v>0</v>
      </c>
      <c r="K96" s="164">
        <f t="shared" si="59"/>
        <v>0</v>
      </c>
      <c r="L96" s="202"/>
      <c r="M96" s="233"/>
      <c r="N96" s="202"/>
      <c r="O96" s="234"/>
      <c r="P96" s="202"/>
      <c r="Q96" s="512"/>
      <c r="R96" s="202"/>
      <c r="S96" s="241"/>
      <c r="T96" s="202"/>
      <c r="U96" s="233"/>
      <c r="V96" s="202"/>
      <c r="W96" s="234"/>
      <c r="X96" s="501"/>
      <c r="Y96" s="233"/>
      <c r="Z96" s="202"/>
      <c r="AA96" s="234">
        <f t="shared" si="54"/>
        <v>0</v>
      </c>
      <c r="AB96" s="202"/>
      <c r="AC96" s="233"/>
      <c r="AD96" s="522"/>
      <c r="AE96" s="234">
        <f t="shared" si="55"/>
        <v>0</v>
      </c>
      <c r="AF96" s="202"/>
      <c r="AG96" s="233"/>
      <c r="AH96" s="202"/>
      <c r="AI96" s="234">
        <f t="shared" si="47"/>
        <v>0</v>
      </c>
      <c r="AJ96" s="202">
        <v>3499993.56</v>
      </c>
      <c r="AK96" s="233">
        <v>3499993.56</v>
      </c>
      <c r="AL96" s="202"/>
      <c r="AM96" s="241">
        <f t="shared" si="36"/>
        <v>-3499993.56</v>
      </c>
      <c r="AN96" s="202">
        <v>3499993.56</v>
      </c>
      <c r="AO96" s="233"/>
      <c r="AP96" s="202"/>
      <c r="AQ96" s="234"/>
      <c r="AR96" s="202">
        <v>5999988.96</v>
      </c>
      <c r="AS96" s="233"/>
      <c r="AT96" s="202"/>
      <c r="AU96" s="234"/>
      <c r="AV96" s="202">
        <v>5499979.7599999998</v>
      </c>
      <c r="AW96" s="233"/>
      <c r="AX96" s="202"/>
      <c r="AY96" s="234"/>
      <c r="AZ96" s="202">
        <v>8599968.3399999999</v>
      </c>
      <c r="BA96" s="233"/>
      <c r="BB96" s="202"/>
      <c r="BC96" s="513"/>
      <c r="BD96" s="202">
        <v>14477475.82</v>
      </c>
      <c r="BE96" s="202"/>
      <c r="BF96" s="233"/>
      <c r="BG96" s="236"/>
      <c r="BH96" s="513"/>
      <c r="BI96" s="526"/>
      <c r="BJ96" s="202"/>
      <c r="BK96" s="202"/>
      <c r="BL96" s="501">
        <f t="shared" si="49"/>
        <v>41577400</v>
      </c>
      <c r="BM96" s="158"/>
      <c r="BN96" s="1090"/>
      <c r="BO96" s="1173"/>
      <c r="BQ96" s="230"/>
    </row>
    <row r="97" spans="1:69" ht="27.75" customHeight="1" x14ac:dyDescent="0.2">
      <c r="A97" s="1083"/>
      <c r="B97" s="533" t="s">
        <v>219</v>
      </c>
      <c r="C97" s="838" t="s">
        <v>603</v>
      </c>
      <c r="D97" s="533" t="s">
        <v>328</v>
      </c>
      <c r="E97" s="533" t="s">
        <v>327</v>
      </c>
      <c r="F97" s="535" t="s">
        <v>16</v>
      </c>
      <c r="G97" s="536" t="s">
        <v>606</v>
      </c>
      <c r="H97" s="537">
        <v>543302</v>
      </c>
      <c r="I97" s="518">
        <f t="shared" si="57"/>
        <v>543302</v>
      </c>
      <c r="J97" s="164">
        <f t="shared" si="58"/>
        <v>0</v>
      </c>
      <c r="K97" s="164">
        <f t="shared" si="59"/>
        <v>0</v>
      </c>
      <c r="L97" s="202"/>
      <c r="M97" s="233"/>
      <c r="N97" s="202"/>
      <c r="O97" s="234"/>
      <c r="P97" s="202"/>
      <c r="Q97" s="512"/>
      <c r="R97" s="202"/>
      <c r="S97" s="241"/>
      <c r="T97" s="202"/>
      <c r="U97" s="233"/>
      <c r="V97" s="202"/>
      <c r="W97" s="234"/>
      <c r="X97" s="501"/>
      <c r="Y97" s="233"/>
      <c r="Z97" s="202"/>
      <c r="AA97" s="234">
        <f t="shared" si="54"/>
        <v>0</v>
      </c>
      <c r="AB97" s="202"/>
      <c r="AC97" s="233"/>
      <c r="AD97" s="522"/>
      <c r="AE97" s="234">
        <f t="shared" si="55"/>
        <v>0</v>
      </c>
      <c r="AF97" s="202"/>
      <c r="AG97" s="233"/>
      <c r="AH97" s="202"/>
      <c r="AI97" s="234">
        <f t="shared" si="47"/>
        <v>0</v>
      </c>
      <c r="AJ97" s="202"/>
      <c r="AK97" s="233"/>
      <c r="AL97" s="202"/>
      <c r="AM97" s="241">
        <f t="shared" si="36"/>
        <v>0</v>
      </c>
      <c r="AN97" s="202"/>
      <c r="AO97" s="233"/>
      <c r="AP97" s="202"/>
      <c r="AQ97" s="234"/>
      <c r="AR97" s="202"/>
      <c r="AS97" s="233"/>
      <c r="AT97" s="202"/>
      <c r="AU97" s="234"/>
      <c r="AV97" s="202"/>
      <c r="AW97" s="233"/>
      <c r="AX97" s="202"/>
      <c r="AY97" s="234"/>
      <c r="AZ97" s="202"/>
      <c r="BA97" s="233"/>
      <c r="BB97" s="202"/>
      <c r="BC97" s="513"/>
      <c r="BD97" s="202">
        <v>543302</v>
      </c>
      <c r="BE97" s="202"/>
      <c r="BF97" s="233"/>
      <c r="BG97" s="236"/>
      <c r="BH97" s="513"/>
      <c r="BI97" s="526"/>
      <c r="BJ97" s="202"/>
      <c r="BK97" s="202"/>
      <c r="BL97" s="501">
        <f t="shared" si="49"/>
        <v>543302</v>
      </c>
      <c r="BM97" s="158"/>
      <c r="BN97" s="1090"/>
      <c r="BO97" s="1173"/>
      <c r="BQ97" s="230"/>
    </row>
    <row r="98" spans="1:69" ht="27.75" customHeight="1" x14ac:dyDescent="0.2">
      <c r="A98" s="1083"/>
      <c r="B98" s="533" t="s">
        <v>219</v>
      </c>
      <c r="C98" s="838" t="s">
        <v>603</v>
      </c>
      <c r="D98" s="533" t="s">
        <v>12</v>
      </c>
      <c r="E98" s="533" t="s">
        <v>225</v>
      </c>
      <c r="F98" s="535" t="s">
        <v>16</v>
      </c>
      <c r="G98" s="536" t="s">
        <v>606</v>
      </c>
      <c r="H98" s="537"/>
      <c r="I98" s="518">
        <f t="shared" ref="I98" si="62">L98+P98+T98+X98+AB98+AF98+AJ98+AN98+AR98+AV98+AZ98+BD98</f>
        <v>0</v>
      </c>
      <c r="J98" s="1011">
        <f t="shared" ref="J98" si="63">H98-I98</f>
        <v>0</v>
      </c>
      <c r="K98" s="1011">
        <f t="shared" ref="K98" si="64">N98+R98+V98+Z98+AD98+AH98+AL98+AP98+AT98+AX98+BB98+BG98</f>
        <v>0</v>
      </c>
      <c r="L98" s="202"/>
      <c r="M98" s="233"/>
      <c r="N98" s="202"/>
      <c r="O98" s="234"/>
      <c r="P98" s="202"/>
      <c r="Q98" s="512"/>
      <c r="R98" s="202"/>
      <c r="S98" s="241"/>
      <c r="T98" s="202"/>
      <c r="U98" s="233"/>
      <c r="V98" s="202"/>
      <c r="W98" s="234"/>
      <c r="X98" s="501"/>
      <c r="Y98" s="233"/>
      <c r="Z98" s="202"/>
      <c r="AA98" s="234"/>
      <c r="AB98" s="202"/>
      <c r="AC98" s="233"/>
      <c r="AD98" s="522"/>
      <c r="AE98" s="234"/>
      <c r="AF98" s="202"/>
      <c r="AG98" s="233"/>
      <c r="AH98" s="202"/>
      <c r="AI98" s="234"/>
      <c r="AJ98" s="202"/>
      <c r="AK98" s="233"/>
      <c r="AL98" s="202"/>
      <c r="AM98" s="241"/>
      <c r="AN98" s="202"/>
      <c r="AO98" s="233"/>
      <c r="AP98" s="202"/>
      <c r="AQ98" s="234"/>
      <c r="AR98" s="202"/>
      <c r="AS98" s="233"/>
      <c r="AT98" s="202"/>
      <c r="AU98" s="234"/>
      <c r="AV98" s="202"/>
      <c r="AW98" s="233"/>
      <c r="AX98" s="202"/>
      <c r="AY98" s="234"/>
      <c r="AZ98" s="202"/>
      <c r="BA98" s="233"/>
      <c r="BB98" s="202"/>
      <c r="BC98" s="513"/>
      <c r="BD98" s="202"/>
      <c r="BE98" s="202"/>
      <c r="BF98" s="233"/>
      <c r="BG98" s="236"/>
      <c r="BH98" s="513"/>
      <c r="BI98" s="526"/>
      <c r="BJ98" s="202"/>
      <c r="BK98" s="202"/>
      <c r="BL98" s="501"/>
      <c r="BM98" s="158"/>
      <c r="BN98" s="1090"/>
      <c r="BO98" s="1173"/>
      <c r="BQ98" s="230"/>
    </row>
    <row r="99" spans="1:69" ht="27.75" customHeight="1" x14ac:dyDescent="0.2">
      <c r="A99" s="1083"/>
      <c r="B99" s="533" t="s">
        <v>219</v>
      </c>
      <c r="C99" s="838" t="s">
        <v>603</v>
      </c>
      <c r="D99" s="533" t="s">
        <v>12</v>
      </c>
      <c r="E99" s="533" t="s">
        <v>223</v>
      </c>
      <c r="F99" s="535" t="s">
        <v>16</v>
      </c>
      <c r="G99" s="536" t="s">
        <v>606</v>
      </c>
      <c r="H99" s="537">
        <v>12214244.960000001</v>
      </c>
      <c r="I99" s="518">
        <f t="shared" si="57"/>
        <v>12214244.960000001</v>
      </c>
      <c r="J99" s="164">
        <f t="shared" si="58"/>
        <v>0</v>
      </c>
      <c r="K99" s="164">
        <f t="shared" si="59"/>
        <v>0</v>
      </c>
      <c r="L99" s="202"/>
      <c r="M99" s="233"/>
      <c r="N99" s="202"/>
      <c r="O99" s="234"/>
      <c r="P99" s="202"/>
      <c r="Q99" s="512"/>
      <c r="R99" s="202"/>
      <c r="S99" s="241"/>
      <c r="T99" s="202"/>
      <c r="U99" s="233"/>
      <c r="V99" s="202"/>
      <c r="W99" s="234"/>
      <c r="X99" s="501"/>
      <c r="Y99" s="233"/>
      <c r="Z99" s="202"/>
      <c r="AA99" s="234">
        <f t="shared" si="54"/>
        <v>0</v>
      </c>
      <c r="AB99" s="202"/>
      <c r="AC99" s="233"/>
      <c r="AD99" s="522"/>
      <c r="AE99" s="234">
        <f t="shared" si="55"/>
        <v>0</v>
      </c>
      <c r="AF99" s="202"/>
      <c r="AG99" s="233"/>
      <c r="AH99" s="202"/>
      <c r="AI99" s="234">
        <f t="shared" si="47"/>
        <v>0</v>
      </c>
      <c r="AJ99" s="202">
        <v>2500004.6</v>
      </c>
      <c r="AK99" s="233">
        <v>2500004.6</v>
      </c>
      <c r="AL99" s="202"/>
      <c r="AM99" s="241">
        <f t="shared" si="36"/>
        <v>-2500004.6</v>
      </c>
      <c r="AN99" s="202">
        <v>2500004.6</v>
      </c>
      <c r="AO99" s="233"/>
      <c r="AP99" s="202"/>
      <c r="AQ99" s="234"/>
      <c r="AR99" s="202">
        <v>3500006.44</v>
      </c>
      <c r="AS99" s="233"/>
      <c r="AT99" s="202"/>
      <c r="AU99" s="234"/>
      <c r="AV99" s="202">
        <v>514229.32</v>
      </c>
      <c r="AW99" s="233"/>
      <c r="AX99" s="202"/>
      <c r="AY99" s="234"/>
      <c r="AZ99" s="202">
        <v>3200000</v>
      </c>
      <c r="BA99" s="233"/>
      <c r="BB99" s="202"/>
      <c r="BC99" s="513"/>
      <c r="BD99" s="202"/>
      <c r="BE99" s="202"/>
      <c r="BF99" s="233"/>
      <c r="BG99" s="236"/>
      <c r="BH99" s="513"/>
      <c r="BI99" s="526"/>
      <c r="BJ99" s="202"/>
      <c r="BK99" s="202"/>
      <c r="BL99" s="501">
        <f t="shared" si="49"/>
        <v>12214244.960000001</v>
      </c>
      <c r="BM99" s="158"/>
      <c r="BN99" s="1090"/>
      <c r="BO99" s="1173"/>
      <c r="BQ99" s="230"/>
    </row>
    <row r="100" spans="1:69" ht="27.75" customHeight="1" x14ac:dyDescent="0.2">
      <c r="A100" s="1084"/>
      <c r="B100" s="533" t="s">
        <v>219</v>
      </c>
      <c r="C100" s="838" t="s">
        <v>603</v>
      </c>
      <c r="D100" s="533" t="s">
        <v>12</v>
      </c>
      <c r="E100" s="533" t="s">
        <v>327</v>
      </c>
      <c r="F100" s="535" t="s">
        <v>16</v>
      </c>
      <c r="G100" s="536" t="s">
        <v>606</v>
      </c>
      <c r="H100" s="537">
        <v>41577553.039999999</v>
      </c>
      <c r="I100" s="518">
        <f t="shared" si="57"/>
        <v>41577553.039999999</v>
      </c>
      <c r="J100" s="164">
        <f t="shared" si="58"/>
        <v>0</v>
      </c>
      <c r="K100" s="164">
        <f t="shared" si="59"/>
        <v>0</v>
      </c>
      <c r="L100" s="202"/>
      <c r="M100" s="233"/>
      <c r="N100" s="202"/>
      <c r="O100" s="234"/>
      <c r="P100" s="202"/>
      <c r="Q100" s="512"/>
      <c r="R100" s="202"/>
      <c r="S100" s="241"/>
      <c r="T100" s="202"/>
      <c r="U100" s="233"/>
      <c r="V100" s="202"/>
      <c r="W100" s="234"/>
      <c r="X100" s="501"/>
      <c r="Y100" s="233"/>
      <c r="Z100" s="202"/>
      <c r="AA100" s="234">
        <f t="shared" si="54"/>
        <v>0</v>
      </c>
      <c r="AB100" s="202"/>
      <c r="AC100" s="233"/>
      <c r="AD100" s="522"/>
      <c r="AE100" s="234">
        <f t="shared" si="55"/>
        <v>0</v>
      </c>
      <c r="AF100" s="202"/>
      <c r="AG100" s="233"/>
      <c r="AH100" s="202"/>
      <c r="AI100" s="234">
        <f t="shared" si="47"/>
        <v>0</v>
      </c>
      <c r="AJ100" s="202">
        <v>3500006.44</v>
      </c>
      <c r="AK100" s="233">
        <v>3500006.44</v>
      </c>
      <c r="AL100" s="202"/>
      <c r="AM100" s="241">
        <f t="shared" si="36"/>
        <v>-3500006.44</v>
      </c>
      <c r="AN100" s="202">
        <v>3500006.44</v>
      </c>
      <c r="AO100" s="233"/>
      <c r="AP100" s="202"/>
      <c r="AQ100" s="234"/>
      <c r="AR100" s="202">
        <v>6000011.04</v>
      </c>
      <c r="AS100" s="233"/>
      <c r="AT100" s="202"/>
      <c r="AU100" s="234"/>
      <c r="AV100" s="202">
        <v>5500000</v>
      </c>
      <c r="AW100" s="233"/>
      <c r="AX100" s="202"/>
      <c r="AY100" s="234"/>
      <c r="AZ100" s="202">
        <v>8600000</v>
      </c>
      <c r="BA100" s="233"/>
      <c r="BB100" s="202"/>
      <c r="BC100" s="513"/>
      <c r="BD100" s="202">
        <v>14477529.119999999</v>
      </c>
      <c r="BE100" s="202"/>
      <c r="BF100" s="233"/>
      <c r="BG100" s="236"/>
      <c r="BH100" s="513"/>
      <c r="BI100" s="526"/>
      <c r="BJ100" s="202"/>
      <c r="BK100" s="202"/>
      <c r="BL100" s="501">
        <f t="shared" si="49"/>
        <v>41577553.039999999</v>
      </c>
      <c r="BM100" s="158"/>
      <c r="BN100" s="1081"/>
      <c r="BO100" s="1174"/>
      <c r="BQ100" s="230"/>
    </row>
    <row r="101" spans="1:69" s="663" customFormat="1" ht="39" customHeight="1" x14ac:dyDescent="0.2">
      <c r="A101" s="1111" t="s">
        <v>229</v>
      </c>
      <c r="B101" s="1112"/>
      <c r="C101" s="1113"/>
      <c r="D101" s="657"/>
      <c r="E101" s="658"/>
      <c r="F101" s="659" t="s">
        <v>14</v>
      </c>
      <c r="G101" s="658"/>
      <c r="H101" s="660">
        <f t="shared" ref="H101:AM101" si="65">SUMIF($F$104:$F$120,"=31",H104:H120)</f>
        <v>637973500</v>
      </c>
      <c r="I101" s="660">
        <f t="shared" si="65"/>
        <v>637973500</v>
      </c>
      <c r="J101" s="660">
        <f t="shared" si="65"/>
        <v>0</v>
      </c>
      <c r="K101" s="660">
        <f t="shared" si="65"/>
        <v>236187081.54000002</v>
      </c>
      <c r="L101" s="660">
        <f t="shared" si="65"/>
        <v>0</v>
      </c>
      <c r="M101" s="660">
        <f t="shared" si="65"/>
        <v>0</v>
      </c>
      <c r="N101" s="660">
        <f t="shared" si="65"/>
        <v>0</v>
      </c>
      <c r="O101" s="660">
        <f t="shared" si="65"/>
        <v>0</v>
      </c>
      <c r="P101" s="660">
        <f t="shared" si="65"/>
        <v>0</v>
      </c>
      <c r="Q101" s="660">
        <f t="shared" si="65"/>
        <v>0</v>
      </c>
      <c r="R101" s="660">
        <f t="shared" si="65"/>
        <v>0</v>
      </c>
      <c r="S101" s="660">
        <f t="shared" si="65"/>
        <v>0</v>
      </c>
      <c r="T101" s="660">
        <f t="shared" si="65"/>
        <v>0</v>
      </c>
      <c r="U101" s="660">
        <f t="shared" si="65"/>
        <v>0</v>
      </c>
      <c r="V101" s="660">
        <f t="shared" si="65"/>
        <v>0</v>
      </c>
      <c r="W101" s="660">
        <f t="shared" si="65"/>
        <v>0</v>
      </c>
      <c r="X101" s="660">
        <f t="shared" si="65"/>
        <v>30663302.899999999</v>
      </c>
      <c r="Y101" s="660">
        <f t="shared" si="65"/>
        <v>30663302.899999999</v>
      </c>
      <c r="Z101" s="660">
        <f t="shared" si="65"/>
        <v>30663302.899999999</v>
      </c>
      <c r="AA101" s="660">
        <f t="shared" si="65"/>
        <v>9.4587448984384537E-11</v>
      </c>
      <c r="AB101" s="660">
        <f t="shared" si="65"/>
        <v>52370567.939999998</v>
      </c>
      <c r="AC101" s="660">
        <f t="shared" si="65"/>
        <v>52370567.939999998</v>
      </c>
      <c r="AD101" s="660">
        <f t="shared" si="65"/>
        <v>52370567.939999998</v>
      </c>
      <c r="AE101" s="660">
        <f t="shared" si="65"/>
        <v>0</v>
      </c>
      <c r="AF101" s="660">
        <f t="shared" si="65"/>
        <v>135047629.03</v>
      </c>
      <c r="AG101" s="660">
        <f t="shared" si="65"/>
        <v>135047629.03</v>
      </c>
      <c r="AH101" s="660">
        <f t="shared" si="65"/>
        <v>134581235.70000002</v>
      </c>
      <c r="AI101" s="660">
        <f t="shared" si="65"/>
        <v>-466393.32999999821</v>
      </c>
      <c r="AJ101" s="660">
        <f t="shared" si="65"/>
        <v>32070630</v>
      </c>
      <c r="AK101" s="660">
        <f t="shared" si="65"/>
        <v>32070630</v>
      </c>
      <c r="AL101" s="660">
        <f t="shared" si="65"/>
        <v>18571975</v>
      </c>
      <c r="AM101" s="660">
        <f t="shared" si="65"/>
        <v>-13498655</v>
      </c>
      <c r="AN101" s="660">
        <f t="shared" ref="AN101:BH101" si="66">SUMIF($F$104:$F$120,"=31",AN104:AN120)</f>
        <v>121109552.97</v>
      </c>
      <c r="AO101" s="660">
        <f t="shared" si="66"/>
        <v>0</v>
      </c>
      <c r="AP101" s="660">
        <f t="shared" si="66"/>
        <v>0</v>
      </c>
      <c r="AQ101" s="660">
        <f t="shared" si="66"/>
        <v>0</v>
      </c>
      <c r="AR101" s="660">
        <f t="shared" si="66"/>
        <v>15000000</v>
      </c>
      <c r="AS101" s="660">
        <f t="shared" si="66"/>
        <v>0</v>
      </c>
      <c r="AT101" s="660">
        <f t="shared" si="66"/>
        <v>0</v>
      </c>
      <c r="AU101" s="660">
        <f t="shared" si="66"/>
        <v>0</v>
      </c>
      <c r="AV101" s="660">
        <f t="shared" si="66"/>
        <v>152267183.10999998</v>
      </c>
      <c r="AW101" s="660">
        <f t="shared" si="66"/>
        <v>0</v>
      </c>
      <c r="AX101" s="660">
        <f t="shared" si="66"/>
        <v>0</v>
      </c>
      <c r="AY101" s="660">
        <f t="shared" si="66"/>
        <v>0</v>
      </c>
      <c r="AZ101" s="660">
        <f t="shared" si="66"/>
        <v>0</v>
      </c>
      <c r="BA101" s="660">
        <f t="shared" si="66"/>
        <v>0</v>
      </c>
      <c r="BB101" s="660">
        <f t="shared" si="66"/>
        <v>0</v>
      </c>
      <c r="BC101" s="660">
        <f t="shared" si="66"/>
        <v>0</v>
      </c>
      <c r="BD101" s="660">
        <f t="shared" si="66"/>
        <v>99444634.049999997</v>
      </c>
      <c r="BE101" s="660">
        <f t="shared" si="66"/>
        <v>0</v>
      </c>
      <c r="BF101" s="660">
        <f t="shared" si="66"/>
        <v>0</v>
      </c>
      <c r="BG101" s="660">
        <f t="shared" si="66"/>
        <v>0</v>
      </c>
      <c r="BH101" s="660">
        <f t="shared" si="66"/>
        <v>0</v>
      </c>
      <c r="BI101" s="526"/>
      <c r="BJ101" s="660">
        <f>SUMIF($F$104:$F$120,"=31",BJ104:BJ120)</f>
        <v>0</v>
      </c>
      <c r="BK101" s="660">
        <f>SUMIF($F$104:$F$120,"=31",BK104:BK120)</f>
        <v>0</v>
      </c>
      <c r="BL101" s="660">
        <f>SUMIF($F$104:$F$120,"=31",BL104:BL120)</f>
        <v>637973500</v>
      </c>
      <c r="BM101" s="661"/>
      <c r="BN101" s="796"/>
      <c r="BO101" s="699"/>
      <c r="BQ101" s="652" t="str">
        <f t="shared" si="56"/>
        <v/>
      </c>
    </row>
    <row r="102" spans="1:69" s="663" customFormat="1" ht="39" customHeight="1" x14ac:dyDescent="0.2">
      <c r="A102" s="1151" t="s">
        <v>215</v>
      </c>
      <c r="B102" s="1152"/>
      <c r="C102" s="1152"/>
      <c r="D102" s="664"/>
      <c r="E102" s="665"/>
      <c r="F102" s="659" t="s">
        <v>63</v>
      </c>
      <c r="G102" s="866"/>
      <c r="H102" s="666">
        <f t="shared" ref="H102:AM102" si="67">SUMIF($F$104:$F$120,"=01",H104:H120)</f>
        <v>0</v>
      </c>
      <c r="I102" s="666">
        <f t="shared" si="67"/>
        <v>0</v>
      </c>
      <c r="J102" s="666">
        <f t="shared" si="67"/>
        <v>0</v>
      </c>
      <c r="K102" s="666">
        <f t="shared" si="67"/>
        <v>0</v>
      </c>
      <c r="L102" s="666">
        <f t="shared" si="67"/>
        <v>0</v>
      </c>
      <c r="M102" s="666">
        <f t="shared" si="67"/>
        <v>0</v>
      </c>
      <c r="N102" s="666">
        <f t="shared" si="67"/>
        <v>0</v>
      </c>
      <c r="O102" s="666">
        <f t="shared" si="67"/>
        <v>0</v>
      </c>
      <c r="P102" s="666">
        <f t="shared" si="67"/>
        <v>0</v>
      </c>
      <c r="Q102" s="666">
        <f t="shared" si="67"/>
        <v>0</v>
      </c>
      <c r="R102" s="666">
        <f t="shared" si="67"/>
        <v>0</v>
      </c>
      <c r="S102" s="666">
        <f t="shared" si="67"/>
        <v>0</v>
      </c>
      <c r="T102" s="666">
        <f t="shared" si="67"/>
        <v>0</v>
      </c>
      <c r="U102" s="666">
        <f t="shared" si="67"/>
        <v>0</v>
      </c>
      <c r="V102" s="666">
        <f t="shared" si="67"/>
        <v>0</v>
      </c>
      <c r="W102" s="666">
        <f t="shared" si="67"/>
        <v>0</v>
      </c>
      <c r="X102" s="666">
        <f t="shared" si="67"/>
        <v>0</v>
      </c>
      <c r="Y102" s="666">
        <f t="shared" si="67"/>
        <v>0</v>
      </c>
      <c r="Z102" s="666">
        <f t="shared" si="67"/>
        <v>0</v>
      </c>
      <c r="AA102" s="666">
        <f t="shared" si="67"/>
        <v>0</v>
      </c>
      <c r="AB102" s="666">
        <f t="shared" si="67"/>
        <v>0</v>
      </c>
      <c r="AC102" s="666">
        <f t="shared" si="67"/>
        <v>0</v>
      </c>
      <c r="AD102" s="666">
        <f t="shared" si="67"/>
        <v>0</v>
      </c>
      <c r="AE102" s="666">
        <f t="shared" si="67"/>
        <v>0</v>
      </c>
      <c r="AF102" s="666">
        <f t="shared" si="67"/>
        <v>0</v>
      </c>
      <c r="AG102" s="666">
        <f t="shared" si="67"/>
        <v>0</v>
      </c>
      <c r="AH102" s="666">
        <f t="shared" si="67"/>
        <v>0</v>
      </c>
      <c r="AI102" s="666">
        <f t="shared" si="67"/>
        <v>0</v>
      </c>
      <c r="AJ102" s="666">
        <f t="shared" si="67"/>
        <v>0</v>
      </c>
      <c r="AK102" s="666">
        <f t="shared" si="67"/>
        <v>0</v>
      </c>
      <c r="AL102" s="666">
        <f t="shared" si="67"/>
        <v>0</v>
      </c>
      <c r="AM102" s="666">
        <f t="shared" si="67"/>
        <v>0</v>
      </c>
      <c r="AN102" s="666">
        <f t="shared" ref="AN102:BH102" si="68">SUMIF($F$104:$F$120,"=01",AN104:AN120)</f>
        <v>0</v>
      </c>
      <c r="AO102" s="666">
        <f t="shared" si="68"/>
        <v>0</v>
      </c>
      <c r="AP102" s="666">
        <f t="shared" si="68"/>
        <v>0</v>
      </c>
      <c r="AQ102" s="666">
        <f t="shared" si="68"/>
        <v>0</v>
      </c>
      <c r="AR102" s="666">
        <f t="shared" si="68"/>
        <v>0</v>
      </c>
      <c r="AS102" s="666">
        <f t="shared" si="68"/>
        <v>0</v>
      </c>
      <c r="AT102" s="666">
        <f t="shared" si="68"/>
        <v>0</v>
      </c>
      <c r="AU102" s="666">
        <f t="shared" si="68"/>
        <v>0</v>
      </c>
      <c r="AV102" s="666">
        <f t="shared" si="68"/>
        <v>0</v>
      </c>
      <c r="AW102" s="666">
        <f t="shared" si="68"/>
        <v>0</v>
      </c>
      <c r="AX102" s="666">
        <f t="shared" si="68"/>
        <v>0</v>
      </c>
      <c r="AY102" s="666">
        <f t="shared" si="68"/>
        <v>0</v>
      </c>
      <c r="AZ102" s="666">
        <f t="shared" si="68"/>
        <v>0</v>
      </c>
      <c r="BA102" s="666">
        <f t="shared" si="68"/>
        <v>0</v>
      </c>
      <c r="BB102" s="666">
        <f t="shared" si="68"/>
        <v>0</v>
      </c>
      <c r="BC102" s="666">
        <f t="shared" si="68"/>
        <v>0</v>
      </c>
      <c r="BD102" s="666">
        <f t="shared" si="68"/>
        <v>0</v>
      </c>
      <c r="BE102" s="666">
        <f t="shared" si="68"/>
        <v>0</v>
      </c>
      <c r="BF102" s="666">
        <f t="shared" si="68"/>
        <v>0</v>
      </c>
      <c r="BG102" s="666">
        <f t="shared" si="68"/>
        <v>0</v>
      </c>
      <c r="BH102" s="666">
        <f t="shared" si="68"/>
        <v>0</v>
      </c>
      <c r="BI102" s="526"/>
      <c r="BJ102" s="666">
        <f>SUMIF($F$104:$F$120,"=01",BJ104:BJ120)</f>
        <v>0</v>
      </c>
      <c r="BK102" s="666">
        <f>SUMIF($F$104:$F$120,"=01",BK104:BK120)</f>
        <v>0</v>
      </c>
      <c r="BL102" s="666">
        <f>SUMIF($F$104:$F$120,"=01",BL104:BL120)</f>
        <v>0</v>
      </c>
      <c r="BM102" s="661"/>
      <c r="BN102" s="796"/>
      <c r="BO102" s="699"/>
      <c r="BQ102" s="652" t="str">
        <f t="shared" si="56"/>
        <v/>
      </c>
    </row>
    <row r="103" spans="1:69" s="663" customFormat="1" ht="39" customHeight="1" x14ac:dyDescent="0.2">
      <c r="A103" s="1161" t="s">
        <v>230</v>
      </c>
      <c r="B103" s="1162"/>
      <c r="C103" s="1162"/>
      <c r="D103" s="667"/>
      <c r="E103" s="668"/>
      <c r="F103" s="669" t="s">
        <v>16</v>
      </c>
      <c r="G103" s="867"/>
      <c r="H103" s="655">
        <f t="shared" ref="H103:AM103" si="69">SUMIF($F$104:$F$120,"=32",H104:H120)</f>
        <v>179099000</v>
      </c>
      <c r="I103" s="655">
        <f t="shared" si="69"/>
        <v>179099000</v>
      </c>
      <c r="J103" s="655">
        <f t="shared" si="69"/>
        <v>0</v>
      </c>
      <c r="K103" s="655">
        <f t="shared" si="69"/>
        <v>152061383.84999999</v>
      </c>
      <c r="L103" s="655">
        <f t="shared" si="69"/>
        <v>0</v>
      </c>
      <c r="M103" s="655">
        <f t="shared" si="69"/>
        <v>0</v>
      </c>
      <c r="N103" s="655">
        <f t="shared" si="69"/>
        <v>0</v>
      </c>
      <c r="O103" s="655">
        <f t="shared" si="69"/>
        <v>0</v>
      </c>
      <c r="P103" s="655">
        <f t="shared" si="69"/>
        <v>0</v>
      </c>
      <c r="Q103" s="655">
        <f t="shared" si="69"/>
        <v>0</v>
      </c>
      <c r="R103" s="655">
        <f t="shared" si="69"/>
        <v>0</v>
      </c>
      <c r="S103" s="655">
        <f t="shared" si="69"/>
        <v>0</v>
      </c>
      <c r="T103" s="655">
        <f t="shared" si="69"/>
        <v>0</v>
      </c>
      <c r="U103" s="655">
        <f t="shared" si="69"/>
        <v>0</v>
      </c>
      <c r="V103" s="655">
        <f t="shared" si="69"/>
        <v>0</v>
      </c>
      <c r="W103" s="655">
        <f t="shared" si="69"/>
        <v>0</v>
      </c>
      <c r="X103" s="655">
        <f t="shared" si="69"/>
        <v>0</v>
      </c>
      <c r="Y103" s="655">
        <f t="shared" si="69"/>
        <v>0</v>
      </c>
      <c r="Z103" s="655">
        <f t="shared" si="69"/>
        <v>0</v>
      </c>
      <c r="AA103" s="655">
        <f t="shared" si="69"/>
        <v>0</v>
      </c>
      <c r="AB103" s="656">
        <f t="shared" si="69"/>
        <v>117515023.88</v>
      </c>
      <c r="AC103" s="656">
        <f t="shared" si="69"/>
        <v>117515023.88</v>
      </c>
      <c r="AD103" s="655">
        <f t="shared" si="69"/>
        <v>117515023.88</v>
      </c>
      <c r="AE103" s="655">
        <f t="shared" si="69"/>
        <v>0</v>
      </c>
      <c r="AF103" s="655">
        <f t="shared" si="69"/>
        <v>22447541.640000001</v>
      </c>
      <c r="AG103" s="655">
        <f t="shared" si="69"/>
        <v>22447541.640000001</v>
      </c>
      <c r="AH103" s="655">
        <f t="shared" si="69"/>
        <v>22368334.969999999</v>
      </c>
      <c r="AI103" s="655">
        <f t="shared" si="69"/>
        <v>-79206.669999999925</v>
      </c>
      <c r="AJ103" s="655">
        <f t="shared" si="69"/>
        <v>21029370</v>
      </c>
      <c r="AK103" s="655">
        <f t="shared" si="69"/>
        <v>21029370</v>
      </c>
      <c r="AL103" s="655">
        <f t="shared" si="69"/>
        <v>12178025</v>
      </c>
      <c r="AM103" s="655">
        <f t="shared" si="69"/>
        <v>-8851345</v>
      </c>
      <c r="AN103" s="655">
        <f t="shared" ref="AN103:BH103" si="70">SUMIF($F$104:$F$120,"=32",AN104:AN120)</f>
        <v>8099166.6699999999</v>
      </c>
      <c r="AO103" s="655">
        <f t="shared" si="70"/>
        <v>0</v>
      </c>
      <c r="AP103" s="655">
        <f t="shared" si="70"/>
        <v>0</v>
      </c>
      <c r="AQ103" s="655">
        <f t="shared" si="70"/>
        <v>0</v>
      </c>
      <c r="AR103" s="655">
        <f t="shared" si="70"/>
        <v>0</v>
      </c>
      <c r="AS103" s="655">
        <f t="shared" si="70"/>
        <v>0</v>
      </c>
      <c r="AT103" s="655">
        <f t="shared" si="70"/>
        <v>0</v>
      </c>
      <c r="AU103" s="655">
        <f t="shared" si="70"/>
        <v>0</v>
      </c>
      <c r="AV103" s="655">
        <f t="shared" si="70"/>
        <v>10007897.810000001</v>
      </c>
      <c r="AW103" s="655">
        <f t="shared" si="70"/>
        <v>0</v>
      </c>
      <c r="AX103" s="655">
        <f t="shared" si="70"/>
        <v>0</v>
      </c>
      <c r="AY103" s="655">
        <f t="shared" si="70"/>
        <v>0</v>
      </c>
      <c r="AZ103" s="655">
        <f t="shared" si="70"/>
        <v>0</v>
      </c>
      <c r="BA103" s="655">
        <f t="shared" si="70"/>
        <v>0</v>
      </c>
      <c r="BB103" s="655">
        <f t="shared" si="70"/>
        <v>0</v>
      </c>
      <c r="BC103" s="655">
        <f t="shared" si="70"/>
        <v>0</v>
      </c>
      <c r="BD103" s="655">
        <f t="shared" si="70"/>
        <v>0</v>
      </c>
      <c r="BE103" s="655">
        <f t="shared" si="70"/>
        <v>0</v>
      </c>
      <c r="BF103" s="655">
        <f t="shared" si="70"/>
        <v>0</v>
      </c>
      <c r="BG103" s="655">
        <f t="shared" si="70"/>
        <v>0</v>
      </c>
      <c r="BH103" s="655">
        <f t="shared" si="70"/>
        <v>0</v>
      </c>
      <c r="BI103" s="526"/>
      <c r="BJ103" s="655">
        <f>SUMIF($F$104:$F$120,"=32",BJ104:BJ120)</f>
        <v>0</v>
      </c>
      <c r="BK103" s="655">
        <f>SUMIF($F$104:$F$120,"=32",BK104:BK120)</f>
        <v>0</v>
      </c>
      <c r="BL103" s="655">
        <f>SUMIF($F$104:$F$120,"=32",BL104:BL120)</f>
        <v>179099000</v>
      </c>
      <c r="BM103" s="661"/>
      <c r="BN103" s="796"/>
      <c r="BO103" s="699"/>
      <c r="BQ103" s="652" t="str">
        <f t="shared" si="56"/>
        <v/>
      </c>
    </row>
    <row r="104" spans="1:69" ht="78.75" x14ac:dyDescent="0.2">
      <c r="A104" s="123" t="s">
        <v>339</v>
      </c>
      <c r="B104" s="232" t="s">
        <v>219</v>
      </c>
      <c r="C104" s="552" t="s">
        <v>106</v>
      </c>
      <c r="D104" s="232" t="s">
        <v>12</v>
      </c>
      <c r="E104" s="232" t="s">
        <v>221</v>
      </c>
      <c r="F104" s="430" t="s">
        <v>14</v>
      </c>
      <c r="G104" s="242"/>
      <c r="H104" s="943">
        <v>21382000</v>
      </c>
      <c r="I104" s="626">
        <f t="shared" ref="I104:I120" si="71">L104+P104+T104+X104+AB104+AF104+AJ104+AN104+AR104+AV104+AZ104+BD104</f>
        <v>21382000</v>
      </c>
      <c r="J104" s="625">
        <f t="shared" ref="J104:J120" si="72">H104-I104</f>
        <v>0</v>
      </c>
      <c r="K104" s="625">
        <f t="shared" ref="K104:K120" si="73">N104+R104+V104+Z104+AD104+AH104+AL104+AP104+AT104+AX104+BB104+BG104</f>
        <v>6688630.5899999999</v>
      </c>
      <c r="L104" s="943"/>
      <c r="M104" s="944"/>
      <c r="N104" s="943"/>
      <c r="O104" s="945"/>
      <c r="P104" s="943"/>
      <c r="Q104" s="944"/>
      <c r="R104" s="943"/>
      <c r="S104" s="946"/>
      <c r="T104" s="943"/>
      <c r="U104" s="944"/>
      <c r="V104" s="943"/>
      <c r="W104" s="945">
        <f>V104-U104</f>
        <v>0</v>
      </c>
      <c r="X104" s="943"/>
      <c r="Y104" s="944"/>
      <c r="Z104" s="943"/>
      <c r="AA104" s="945">
        <f t="shared" ref="AA104:AA112" si="74">Z104-Y104</f>
        <v>0</v>
      </c>
      <c r="AB104" s="943">
        <f>6700000-11369.41-6688630.59</f>
        <v>0</v>
      </c>
      <c r="AC104" s="944">
        <f>6700000-11369.41-6688630.59</f>
        <v>0</v>
      </c>
      <c r="AD104" s="943"/>
      <c r="AE104" s="945">
        <f>AD104-AC104</f>
        <v>0</v>
      </c>
      <c r="AF104" s="943">
        <v>6688630.5899999999</v>
      </c>
      <c r="AG104" s="944">
        <v>6688630.5899999999</v>
      </c>
      <c r="AH104" s="943">
        <v>6688630.5899999999</v>
      </c>
      <c r="AI104" s="945">
        <f t="shared" ref="AI104:AI110" si="75">AH104-AG104</f>
        <v>0</v>
      </c>
      <c r="AJ104" s="943"/>
      <c r="AK104" s="944"/>
      <c r="AL104" s="943"/>
      <c r="AM104" s="946">
        <f t="shared" ref="AM104:AM113" si="76">AL104-AK104</f>
        <v>0</v>
      </c>
      <c r="AN104" s="943">
        <v>3258000</v>
      </c>
      <c r="AO104" s="944"/>
      <c r="AP104" s="943"/>
      <c r="AQ104" s="945">
        <f t="shared" ref="AQ104:AQ112" si="77">AP104-AO104</f>
        <v>0</v>
      </c>
      <c r="AR104" s="943"/>
      <c r="AS104" s="944"/>
      <c r="AT104" s="943"/>
      <c r="AU104" s="946">
        <f t="shared" ref="AU104:AU112" si="78">AT104-AS104</f>
        <v>0</v>
      </c>
      <c r="AV104" s="943">
        <v>8004738.8200000003</v>
      </c>
      <c r="AW104" s="944"/>
      <c r="AX104" s="943"/>
      <c r="AY104" s="945">
        <f t="shared" ref="AY104:AY120" si="79">AX104-AW104</f>
        <v>0</v>
      </c>
      <c r="AZ104" s="943"/>
      <c r="BA104" s="944"/>
      <c r="BB104" s="943"/>
      <c r="BC104" s="948">
        <f t="shared" si="43"/>
        <v>0</v>
      </c>
      <c r="BD104" s="943">
        <v>3430630.59</v>
      </c>
      <c r="BE104" s="943"/>
      <c r="BF104" s="944"/>
      <c r="BG104" s="949"/>
      <c r="BH104" s="945">
        <f t="shared" ref="BH104:BH109" si="80">BG104-BF104</f>
        <v>0</v>
      </c>
      <c r="BI104" s="947"/>
      <c r="BJ104" s="943"/>
      <c r="BK104" s="943"/>
      <c r="BL104" s="950">
        <f t="shared" ref="BL104:BL120" si="81">H104+BJ104+BK104</f>
        <v>21382000</v>
      </c>
      <c r="BM104" s="158"/>
      <c r="BN104" s="61" t="s">
        <v>657</v>
      </c>
      <c r="BO104" s="132"/>
      <c r="BQ104" s="230" t="str">
        <f t="shared" si="56"/>
        <v/>
      </c>
    </row>
    <row r="105" spans="1:69" ht="88.5" customHeight="1" x14ac:dyDescent="0.2">
      <c r="A105" s="123" t="s">
        <v>97</v>
      </c>
      <c r="B105" s="232" t="s">
        <v>219</v>
      </c>
      <c r="C105" s="530" t="s">
        <v>98</v>
      </c>
      <c r="D105" s="232" t="s">
        <v>328</v>
      </c>
      <c r="E105" s="232" t="s">
        <v>231</v>
      </c>
      <c r="F105" s="430" t="s">
        <v>14</v>
      </c>
      <c r="G105" s="232"/>
      <c r="H105" s="951">
        <f>70040000+24085600</f>
        <v>94125600</v>
      </c>
      <c r="I105" s="952">
        <f t="shared" si="71"/>
        <v>94125600</v>
      </c>
      <c r="J105" s="625">
        <f t="shared" si="72"/>
        <v>0</v>
      </c>
      <c r="K105" s="625">
        <f t="shared" si="73"/>
        <v>93780000</v>
      </c>
      <c r="L105" s="625"/>
      <c r="M105" s="630"/>
      <c r="N105" s="625"/>
      <c r="O105" s="946"/>
      <c r="P105" s="625"/>
      <c r="Q105" s="630"/>
      <c r="R105" s="625"/>
      <c r="S105" s="946"/>
      <c r="T105" s="625"/>
      <c r="U105" s="944"/>
      <c r="V105" s="625"/>
      <c r="W105" s="945">
        <f>V105-U105</f>
        <v>0</v>
      </c>
      <c r="X105" s="625"/>
      <c r="Y105" s="630"/>
      <c r="Z105" s="625"/>
      <c r="AA105" s="945">
        <f t="shared" si="74"/>
        <v>0</v>
      </c>
      <c r="AB105" s="625"/>
      <c r="AC105" s="630"/>
      <c r="AD105" s="625"/>
      <c r="AE105" s="945">
        <f>AD105-AC105+W105</f>
        <v>0</v>
      </c>
      <c r="AF105" s="625">
        <v>94125600</v>
      </c>
      <c r="AG105" s="630">
        <v>94125600</v>
      </c>
      <c r="AH105" s="625">
        <v>93780000</v>
      </c>
      <c r="AI105" s="945">
        <f t="shared" si="75"/>
        <v>-345600</v>
      </c>
      <c r="AJ105" s="625"/>
      <c r="AK105" s="630"/>
      <c r="AL105" s="625"/>
      <c r="AM105" s="946">
        <f t="shared" si="76"/>
        <v>0</v>
      </c>
      <c r="AN105" s="625"/>
      <c r="AO105" s="630"/>
      <c r="AP105" s="625"/>
      <c r="AQ105" s="945">
        <f t="shared" si="77"/>
        <v>0</v>
      </c>
      <c r="AR105" s="625"/>
      <c r="AS105" s="630"/>
      <c r="AT105" s="625"/>
      <c r="AU105" s="946">
        <f t="shared" si="78"/>
        <v>0</v>
      </c>
      <c r="AV105" s="625"/>
      <c r="AW105" s="630"/>
      <c r="AX105" s="625"/>
      <c r="AY105" s="945">
        <f t="shared" si="79"/>
        <v>0</v>
      </c>
      <c r="AZ105" s="625"/>
      <c r="BA105" s="630"/>
      <c r="BB105" s="625"/>
      <c r="BC105" s="948">
        <f t="shared" si="43"/>
        <v>0</v>
      </c>
      <c r="BD105" s="953"/>
      <c r="BE105" s="953"/>
      <c r="BF105" s="944"/>
      <c r="BG105" s="949"/>
      <c r="BH105" s="945">
        <f t="shared" si="80"/>
        <v>0</v>
      </c>
      <c r="BI105" s="947"/>
      <c r="BJ105" s="943"/>
      <c r="BK105" s="943"/>
      <c r="BL105" s="950">
        <f t="shared" si="81"/>
        <v>94125600</v>
      </c>
      <c r="BM105" s="158"/>
      <c r="BN105" s="61" t="s">
        <v>651</v>
      </c>
      <c r="BO105" s="132"/>
      <c r="BQ105" s="230" t="str">
        <f t="shared" si="56"/>
        <v/>
      </c>
    </row>
    <row r="106" spans="1:69" ht="45.75" customHeight="1" x14ac:dyDescent="0.2">
      <c r="A106" s="1109" t="s">
        <v>335</v>
      </c>
      <c r="B106" s="232" t="s">
        <v>219</v>
      </c>
      <c r="C106" s="530" t="s">
        <v>99</v>
      </c>
      <c r="D106" s="528" t="s">
        <v>328</v>
      </c>
      <c r="E106" s="232" t="s">
        <v>327</v>
      </c>
      <c r="F106" s="430" t="s">
        <v>14</v>
      </c>
      <c r="G106" s="232"/>
      <c r="H106" s="553"/>
      <c r="I106" s="518">
        <f t="shared" si="71"/>
        <v>0</v>
      </c>
      <c r="J106" s="164">
        <f t="shared" si="72"/>
        <v>0</v>
      </c>
      <c r="K106" s="164">
        <f t="shared" si="73"/>
        <v>0</v>
      </c>
      <c r="L106" s="164"/>
      <c r="M106" s="240"/>
      <c r="N106" s="164"/>
      <c r="O106" s="241"/>
      <c r="P106" s="164"/>
      <c r="Q106" s="554"/>
      <c r="R106" s="164"/>
      <c r="S106" s="241"/>
      <c r="T106" s="164"/>
      <c r="U106" s="233"/>
      <c r="V106" s="164"/>
      <c r="W106" s="234">
        <f>V106-U106</f>
        <v>0</v>
      </c>
      <c r="X106" s="164"/>
      <c r="Y106" s="240"/>
      <c r="Z106" s="164"/>
      <c r="AA106" s="234">
        <f t="shared" si="74"/>
        <v>0</v>
      </c>
      <c r="AB106" s="164"/>
      <c r="AC106" s="240"/>
      <c r="AD106" s="164"/>
      <c r="AE106" s="234">
        <f t="shared" ref="AE106:AE112" si="82">AD106-AC106</f>
        <v>0</v>
      </c>
      <c r="AF106" s="164"/>
      <c r="AG106" s="240"/>
      <c r="AH106" s="164"/>
      <c r="AI106" s="234">
        <f t="shared" si="75"/>
        <v>0</v>
      </c>
      <c r="AJ106" s="164"/>
      <c r="AK106" s="240"/>
      <c r="AL106" s="164"/>
      <c r="AM106" s="234">
        <f t="shared" si="76"/>
        <v>0</v>
      </c>
      <c r="AN106" s="164"/>
      <c r="AO106" s="240"/>
      <c r="AP106" s="164"/>
      <c r="AQ106" s="234">
        <f t="shared" si="77"/>
        <v>0</v>
      </c>
      <c r="AR106" s="164"/>
      <c r="AS106" s="240"/>
      <c r="AT106" s="164"/>
      <c r="AU106" s="241">
        <f t="shared" si="78"/>
        <v>0</v>
      </c>
      <c r="AV106" s="164"/>
      <c r="AW106" s="240"/>
      <c r="AX106" s="164"/>
      <c r="AY106" s="234">
        <f t="shared" si="79"/>
        <v>0</v>
      </c>
      <c r="AZ106" s="164"/>
      <c r="BA106" s="240"/>
      <c r="BB106" s="164"/>
      <c r="BC106" s="513">
        <f t="shared" si="43"/>
        <v>0</v>
      </c>
      <c r="BD106" s="529"/>
      <c r="BE106" s="529"/>
      <c r="BF106" s="233"/>
      <c r="BG106" s="236"/>
      <c r="BH106" s="234">
        <f t="shared" si="80"/>
        <v>0</v>
      </c>
      <c r="BI106" s="526"/>
      <c r="BJ106" s="202"/>
      <c r="BK106" s="202"/>
      <c r="BL106" s="501">
        <f t="shared" si="81"/>
        <v>0</v>
      </c>
      <c r="BM106" s="158"/>
      <c r="BN106" s="783"/>
      <c r="BO106" s="132"/>
      <c r="BQ106" s="230" t="str">
        <f t="shared" si="56"/>
        <v/>
      </c>
    </row>
    <row r="107" spans="1:69" ht="69.75" customHeight="1" x14ac:dyDescent="0.2">
      <c r="A107" s="1150"/>
      <c r="B107" s="232" t="s">
        <v>219</v>
      </c>
      <c r="C107" s="530" t="s">
        <v>99</v>
      </c>
      <c r="D107" s="232" t="s">
        <v>331</v>
      </c>
      <c r="E107" s="232" t="s">
        <v>327</v>
      </c>
      <c r="F107" s="430" t="s">
        <v>14</v>
      </c>
      <c r="G107" s="232"/>
      <c r="H107" s="553">
        <v>45494000</v>
      </c>
      <c r="I107" s="518">
        <f t="shared" si="71"/>
        <v>45494000</v>
      </c>
      <c r="J107" s="164">
        <f t="shared" si="72"/>
        <v>0</v>
      </c>
      <c r="K107" s="164">
        <f t="shared" si="73"/>
        <v>0</v>
      </c>
      <c r="L107" s="164"/>
      <c r="M107" s="240"/>
      <c r="N107" s="164"/>
      <c r="O107" s="241"/>
      <c r="P107" s="164"/>
      <c r="Q107" s="554"/>
      <c r="R107" s="164"/>
      <c r="S107" s="241"/>
      <c r="T107" s="164"/>
      <c r="U107" s="240"/>
      <c r="V107" s="164"/>
      <c r="W107" s="234">
        <f t="shared" ref="W107:W120" si="83">V107-U107</f>
        <v>0</v>
      </c>
      <c r="X107" s="164"/>
      <c r="Y107" s="240"/>
      <c r="Z107" s="164"/>
      <c r="AA107" s="234">
        <f t="shared" si="74"/>
        <v>0</v>
      </c>
      <c r="AB107" s="164"/>
      <c r="AC107" s="240"/>
      <c r="AD107" s="164"/>
      <c r="AE107" s="234">
        <f t="shared" si="82"/>
        <v>0</v>
      </c>
      <c r="AF107" s="164"/>
      <c r="AG107" s="240"/>
      <c r="AH107" s="164"/>
      <c r="AI107" s="234">
        <f t="shared" si="75"/>
        <v>0</v>
      </c>
      <c r="AJ107" s="164"/>
      <c r="AK107" s="240"/>
      <c r="AL107" s="164"/>
      <c r="AM107" s="234">
        <f t="shared" si="76"/>
        <v>0</v>
      </c>
      <c r="AN107" s="164">
        <v>25500000</v>
      </c>
      <c r="AO107" s="240"/>
      <c r="AP107" s="164"/>
      <c r="AQ107" s="234">
        <f t="shared" si="77"/>
        <v>0</v>
      </c>
      <c r="AR107" s="164"/>
      <c r="AS107" s="240"/>
      <c r="AT107" s="164"/>
      <c r="AU107" s="241">
        <f t="shared" si="78"/>
        <v>0</v>
      </c>
      <c r="AV107" s="164"/>
      <c r="AW107" s="240"/>
      <c r="AX107" s="164"/>
      <c r="AY107" s="234">
        <f t="shared" si="79"/>
        <v>0</v>
      </c>
      <c r="AZ107" s="164"/>
      <c r="BA107" s="240"/>
      <c r="BB107" s="164"/>
      <c r="BC107" s="513">
        <f t="shared" si="43"/>
        <v>0</v>
      </c>
      <c r="BD107" s="970">
        <v>19994000</v>
      </c>
      <c r="BE107" s="529"/>
      <c r="BF107" s="233"/>
      <c r="BG107" s="236"/>
      <c r="BH107" s="234">
        <f t="shared" si="80"/>
        <v>0</v>
      </c>
      <c r="BI107" s="526"/>
      <c r="BJ107" s="531"/>
      <c r="BK107" s="202"/>
      <c r="BL107" s="501">
        <f t="shared" si="81"/>
        <v>45494000</v>
      </c>
      <c r="BM107" s="158"/>
      <c r="BN107" s="783"/>
      <c r="BO107" s="132"/>
      <c r="BQ107" s="230" t="str">
        <f t="shared" si="56"/>
        <v/>
      </c>
    </row>
    <row r="108" spans="1:69" ht="47.25" x14ac:dyDescent="0.2">
      <c r="A108" s="123" t="s">
        <v>337</v>
      </c>
      <c r="B108" s="232" t="s">
        <v>219</v>
      </c>
      <c r="C108" s="530" t="s">
        <v>105</v>
      </c>
      <c r="D108" s="232" t="s">
        <v>331</v>
      </c>
      <c r="E108" s="232" t="s">
        <v>231</v>
      </c>
      <c r="F108" s="430" t="s">
        <v>14</v>
      </c>
      <c r="G108" s="232"/>
      <c r="H108" s="553">
        <f>70000000+50000000</f>
        <v>120000000</v>
      </c>
      <c r="I108" s="518">
        <f t="shared" si="71"/>
        <v>120000000</v>
      </c>
      <c r="J108" s="164">
        <f t="shared" si="72"/>
        <v>0</v>
      </c>
      <c r="K108" s="164">
        <f t="shared" si="73"/>
        <v>0</v>
      </c>
      <c r="L108" s="164"/>
      <c r="M108" s="240"/>
      <c r="N108" s="164"/>
      <c r="O108" s="241"/>
      <c r="P108" s="164"/>
      <c r="Q108" s="554"/>
      <c r="R108" s="164"/>
      <c r="S108" s="241"/>
      <c r="T108" s="164"/>
      <c r="U108" s="240"/>
      <c r="V108" s="164"/>
      <c r="W108" s="234">
        <f t="shared" si="83"/>
        <v>0</v>
      </c>
      <c r="X108" s="164"/>
      <c r="Y108" s="240"/>
      <c r="Z108" s="164"/>
      <c r="AA108" s="234">
        <f t="shared" si="74"/>
        <v>0</v>
      </c>
      <c r="AB108" s="164"/>
      <c r="AC108" s="240"/>
      <c r="AD108" s="164"/>
      <c r="AE108" s="234">
        <f t="shared" si="82"/>
        <v>0</v>
      </c>
      <c r="AF108" s="164"/>
      <c r="AG108" s="240"/>
      <c r="AH108" s="164"/>
      <c r="AI108" s="234">
        <f t="shared" si="75"/>
        <v>0</v>
      </c>
      <c r="AJ108" s="164"/>
      <c r="AK108" s="240"/>
      <c r="AL108" s="164"/>
      <c r="AM108" s="234">
        <f t="shared" si="76"/>
        <v>0</v>
      </c>
      <c r="AN108" s="164"/>
      <c r="AO108" s="240"/>
      <c r="AP108" s="164"/>
      <c r="AQ108" s="234">
        <f t="shared" si="77"/>
        <v>0</v>
      </c>
      <c r="AR108" s="164"/>
      <c r="AS108" s="240"/>
      <c r="AT108" s="164"/>
      <c r="AU108" s="241">
        <f t="shared" si="78"/>
        <v>0</v>
      </c>
      <c r="AV108" s="164">
        <v>120000000</v>
      </c>
      <c r="AW108" s="240"/>
      <c r="AX108" s="164"/>
      <c r="AY108" s="234">
        <f t="shared" si="79"/>
        <v>0</v>
      </c>
      <c r="AZ108" s="164"/>
      <c r="BA108" s="240"/>
      <c r="BB108" s="164"/>
      <c r="BC108" s="513">
        <f t="shared" si="43"/>
        <v>0</v>
      </c>
      <c r="BD108" s="164"/>
      <c r="BE108" s="164"/>
      <c r="BF108" s="233"/>
      <c r="BG108" s="236"/>
      <c r="BH108" s="234">
        <f t="shared" si="80"/>
        <v>0</v>
      </c>
      <c r="BI108" s="526"/>
      <c r="BJ108" s="202"/>
      <c r="BK108" s="202"/>
      <c r="BL108" s="501">
        <f t="shared" si="81"/>
        <v>120000000</v>
      </c>
      <c r="BM108" s="158"/>
      <c r="BN108" s="783"/>
      <c r="BO108" s="132"/>
      <c r="BQ108" s="230" t="str">
        <f t="shared" si="56"/>
        <v/>
      </c>
    </row>
    <row r="109" spans="1:69" ht="63" x14ac:dyDescent="0.2">
      <c r="A109" s="122" t="s">
        <v>100</v>
      </c>
      <c r="B109" s="232" t="s">
        <v>219</v>
      </c>
      <c r="C109" s="232" t="s">
        <v>101</v>
      </c>
      <c r="D109" s="232" t="s">
        <v>328</v>
      </c>
      <c r="E109" s="232" t="s">
        <v>327</v>
      </c>
      <c r="F109" s="430" t="s">
        <v>14</v>
      </c>
      <c r="G109" s="232"/>
      <c r="H109" s="202">
        <f>109946700+60000000</f>
        <v>169946700</v>
      </c>
      <c r="I109" s="518">
        <f t="shared" si="71"/>
        <v>169946700</v>
      </c>
      <c r="J109" s="164">
        <f t="shared" si="72"/>
        <v>0</v>
      </c>
      <c r="K109" s="164">
        <f t="shared" si="73"/>
        <v>30604244</v>
      </c>
      <c r="L109" s="202"/>
      <c r="M109" s="233"/>
      <c r="N109" s="202"/>
      <c r="O109" s="234"/>
      <c r="P109" s="202"/>
      <c r="Q109" s="512"/>
      <c r="R109" s="202"/>
      <c r="S109" s="241"/>
      <c r="T109" s="202"/>
      <c r="U109" s="233"/>
      <c r="V109" s="202"/>
      <c r="W109" s="234">
        <f t="shared" si="83"/>
        <v>0</v>
      </c>
      <c r="X109" s="202">
        <f>56100000-25495756</f>
        <v>30604244</v>
      </c>
      <c r="Y109" s="233">
        <f>56100000-25495756</f>
        <v>30604244</v>
      </c>
      <c r="Z109" s="202">
        <v>30604244</v>
      </c>
      <c r="AA109" s="234">
        <f t="shared" si="74"/>
        <v>0</v>
      </c>
      <c r="AB109" s="202"/>
      <c r="AC109" s="233"/>
      <c r="AD109" s="522"/>
      <c r="AE109" s="234">
        <f t="shared" si="82"/>
        <v>0</v>
      </c>
      <c r="AF109" s="202"/>
      <c r="AG109" s="233"/>
      <c r="AH109" s="202"/>
      <c r="AI109" s="234">
        <f t="shared" si="75"/>
        <v>0</v>
      </c>
      <c r="AJ109" s="202"/>
      <c r="AK109" s="233"/>
      <c r="AL109" s="202"/>
      <c r="AM109" s="234">
        <f t="shared" si="76"/>
        <v>0</v>
      </c>
      <c r="AN109" s="202">
        <v>65000000</v>
      </c>
      <c r="AO109" s="233"/>
      <c r="AP109" s="202"/>
      <c r="AQ109" s="234">
        <f t="shared" si="77"/>
        <v>0</v>
      </c>
      <c r="AR109" s="202"/>
      <c r="AS109" s="233"/>
      <c r="AT109" s="202"/>
      <c r="AU109" s="241">
        <f t="shared" si="78"/>
        <v>0</v>
      </c>
      <c r="AV109" s="202"/>
      <c r="AW109" s="233"/>
      <c r="AX109" s="202"/>
      <c r="AY109" s="234">
        <f t="shared" si="79"/>
        <v>0</v>
      </c>
      <c r="AZ109" s="202"/>
      <c r="BA109" s="233"/>
      <c r="BB109" s="202"/>
      <c r="BC109" s="513">
        <f t="shared" si="43"/>
        <v>0</v>
      </c>
      <c r="BD109" s="202">
        <v>74342456</v>
      </c>
      <c r="BE109" s="517"/>
      <c r="BF109" s="233"/>
      <c r="BG109" s="236"/>
      <c r="BH109" s="234">
        <f t="shared" si="80"/>
        <v>0</v>
      </c>
      <c r="BI109" s="526"/>
      <c r="BJ109" s="202"/>
      <c r="BK109" s="202"/>
      <c r="BL109" s="501">
        <f t="shared" si="81"/>
        <v>169946700</v>
      </c>
      <c r="BM109" s="516"/>
      <c r="BN109" s="782" t="s">
        <v>528</v>
      </c>
      <c r="BO109" s="132"/>
      <c r="BQ109" s="230" t="str">
        <f t="shared" si="56"/>
        <v/>
      </c>
    </row>
    <row r="110" spans="1:69" ht="36" customHeight="1" x14ac:dyDescent="0.2">
      <c r="A110" s="122" t="s">
        <v>232</v>
      </c>
      <c r="B110" s="232" t="s">
        <v>219</v>
      </c>
      <c r="C110" s="232" t="s">
        <v>103</v>
      </c>
      <c r="D110" s="232" t="s">
        <v>222</v>
      </c>
      <c r="E110" s="232" t="s">
        <v>231</v>
      </c>
      <c r="F110" s="430" t="s">
        <v>14</v>
      </c>
      <c r="G110" s="232"/>
      <c r="H110" s="202">
        <v>9000000</v>
      </c>
      <c r="I110" s="518">
        <f t="shared" si="71"/>
        <v>9000000</v>
      </c>
      <c r="J110" s="164">
        <f t="shared" si="72"/>
        <v>0</v>
      </c>
      <c r="K110" s="164">
        <f t="shared" si="73"/>
        <v>0</v>
      </c>
      <c r="L110" s="202"/>
      <c r="M110" s="233"/>
      <c r="N110" s="202"/>
      <c r="O110" s="234"/>
      <c r="P110" s="202"/>
      <c r="Q110" s="512"/>
      <c r="R110" s="202"/>
      <c r="S110" s="241"/>
      <c r="T110" s="202"/>
      <c r="U110" s="233"/>
      <c r="V110" s="202"/>
      <c r="W110" s="234">
        <f t="shared" si="83"/>
        <v>0</v>
      </c>
      <c r="X110" s="202"/>
      <c r="Y110" s="233"/>
      <c r="Z110" s="202"/>
      <c r="AA110" s="234">
        <f t="shared" si="74"/>
        <v>0</v>
      </c>
      <c r="AB110" s="202"/>
      <c r="AC110" s="233"/>
      <c r="AD110" s="522"/>
      <c r="AE110" s="234">
        <f t="shared" si="82"/>
        <v>0</v>
      </c>
      <c r="AF110" s="202"/>
      <c r="AG110" s="233"/>
      <c r="AH110" s="202"/>
      <c r="AI110" s="234">
        <f t="shared" si="75"/>
        <v>0</v>
      </c>
      <c r="AJ110" s="202"/>
      <c r="AK110" s="233"/>
      <c r="AL110" s="202"/>
      <c r="AM110" s="234">
        <f t="shared" si="76"/>
        <v>0</v>
      </c>
      <c r="AN110" s="202"/>
      <c r="AO110" s="233"/>
      <c r="AP110" s="202"/>
      <c r="AQ110" s="234">
        <f t="shared" si="77"/>
        <v>0</v>
      </c>
      <c r="AR110" s="202"/>
      <c r="AS110" s="233"/>
      <c r="AT110" s="202"/>
      <c r="AU110" s="234">
        <f t="shared" si="78"/>
        <v>0</v>
      </c>
      <c r="AV110" s="202">
        <v>9000000</v>
      </c>
      <c r="AW110" s="233"/>
      <c r="AX110" s="202"/>
      <c r="AY110" s="234">
        <f t="shared" si="79"/>
        <v>0</v>
      </c>
      <c r="AZ110" s="202"/>
      <c r="BA110" s="233"/>
      <c r="BB110" s="202"/>
      <c r="BC110" s="513">
        <f t="shared" si="43"/>
        <v>0</v>
      </c>
      <c r="BD110" s="202"/>
      <c r="BE110" s="202"/>
      <c r="BF110" s="233"/>
      <c r="BG110" s="236"/>
      <c r="BH110" s="234"/>
      <c r="BI110" s="526"/>
      <c r="BJ110" s="202"/>
      <c r="BK110" s="202"/>
      <c r="BL110" s="501">
        <f t="shared" si="81"/>
        <v>9000000</v>
      </c>
      <c r="BM110" s="158"/>
      <c r="BN110" s="164"/>
      <c r="BO110" s="132"/>
      <c r="BQ110" s="230" t="str">
        <f t="shared" si="56"/>
        <v/>
      </c>
    </row>
    <row r="111" spans="1:69" ht="66.75" customHeight="1" x14ac:dyDescent="0.2">
      <c r="A111" s="592" t="s">
        <v>619</v>
      </c>
      <c r="B111" s="232" t="s">
        <v>219</v>
      </c>
      <c r="C111" s="530" t="s">
        <v>104</v>
      </c>
      <c r="D111" s="232" t="s">
        <v>328</v>
      </c>
      <c r="E111" s="232" t="s">
        <v>231</v>
      </c>
      <c r="F111" s="430" t="s">
        <v>14</v>
      </c>
      <c r="G111" s="242"/>
      <c r="H111" s="524">
        <v>1736606.36</v>
      </c>
      <c r="I111" s="518">
        <f t="shared" si="71"/>
        <v>1736606.3599999999</v>
      </c>
      <c r="J111" s="164">
        <f t="shared" si="72"/>
        <v>0</v>
      </c>
      <c r="K111" s="164">
        <f t="shared" si="73"/>
        <v>59058.9</v>
      </c>
      <c r="L111" s="202"/>
      <c r="M111" s="233"/>
      <c r="N111" s="202"/>
      <c r="O111" s="234"/>
      <c r="P111" s="202"/>
      <c r="Q111" s="512"/>
      <c r="R111" s="202"/>
      <c r="S111" s="241"/>
      <c r="T111" s="202"/>
      <c r="U111" s="233"/>
      <c r="V111" s="202"/>
      <c r="W111" s="234">
        <f t="shared" si="83"/>
        <v>0</v>
      </c>
      <c r="X111" s="202">
        <f>846185.69-787126.79</f>
        <v>59058.899999999907</v>
      </c>
      <c r="Y111" s="233">
        <f>846185.69-787126.79</f>
        <v>59058.899999999907</v>
      </c>
      <c r="Z111" s="202">
        <v>59058.9</v>
      </c>
      <c r="AA111" s="234">
        <f t="shared" si="74"/>
        <v>9.4587448984384537E-11</v>
      </c>
      <c r="AB111" s="202"/>
      <c r="AC111" s="233"/>
      <c r="AD111" s="522"/>
      <c r="AE111" s="234">
        <f t="shared" si="82"/>
        <v>0</v>
      </c>
      <c r="AF111" s="202"/>
      <c r="AG111" s="233"/>
      <c r="AH111" s="202"/>
      <c r="AI111" s="234">
        <f t="shared" ref="AI111:AI120" si="84">AH111-AG111</f>
        <v>0</v>
      </c>
      <c r="AJ111" s="202"/>
      <c r="AK111" s="233"/>
      <c r="AL111" s="202"/>
      <c r="AM111" s="234">
        <f t="shared" si="76"/>
        <v>0</v>
      </c>
      <c r="AN111" s="202"/>
      <c r="AO111" s="233"/>
      <c r="AP111" s="202"/>
      <c r="AQ111" s="234">
        <f t="shared" si="77"/>
        <v>0</v>
      </c>
      <c r="AR111" s="202"/>
      <c r="AS111" s="233"/>
      <c r="AT111" s="202"/>
      <c r="AU111" s="234">
        <f t="shared" si="78"/>
        <v>0</v>
      </c>
      <c r="AV111" s="202"/>
      <c r="AW111" s="233"/>
      <c r="AX111" s="202"/>
      <c r="AY111" s="234">
        <f t="shared" si="79"/>
        <v>0</v>
      </c>
      <c r="AZ111" s="202"/>
      <c r="BA111" s="233"/>
      <c r="BB111" s="202"/>
      <c r="BC111" s="513">
        <f t="shared" si="43"/>
        <v>0</v>
      </c>
      <c r="BD111" s="202">
        <v>1677547.46</v>
      </c>
      <c r="BE111" s="202"/>
      <c r="BF111" s="233"/>
      <c r="BG111" s="236"/>
      <c r="BH111" s="234"/>
      <c r="BI111" s="526"/>
      <c r="BJ111" s="202"/>
      <c r="BK111" s="527"/>
      <c r="BL111" s="501">
        <f t="shared" si="81"/>
        <v>1736606.36</v>
      </c>
      <c r="BM111" s="158"/>
      <c r="BN111" s="782" t="s">
        <v>618</v>
      </c>
      <c r="BO111" s="132"/>
      <c r="BQ111" s="230"/>
    </row>
    <row r="112" spans="1:69" ht="42.75" customHeight="1" x14ac:dyDescent="0.2">
      <c r="A112" s="404" t="s">
        <v>352</v>
      </c>
      <c r="B112" s="232" t="s">
        <v>219</v>
      </c>
      <c r="C112" s="530" t="s">
        <v>376</v>
      </c>
      <c r="D112" s="555" t="s">
        <v>328</v>
      </c>
      <c r="E112" s="232" t="s">
        <v>231</v>
      </c>
      <c r="F112" s="430" t="s">
        <v>14</v>
      </c>
      <c r="G112" s="242"/>
      <c r="H112" s="553">
        <v>30000000</v>
      </c>
      <c r="I112" s="518">
        <f t="shared" si="71"/>
        <v>30000000</v>
      </c>
      <c r="J112" s="164">
        <f t="shared" si="72"/>
        <v>0</v>
      </c>
      <c r="K112" s="164">
        <f t="shared" si="73"/>
        <v>0</v>
      </c>
      <c r="L112" s="164"/>
      <c r="M112" s="240"/>
      <c r="N112" s="164"/>
      <c r="O112" s="241"/>
      <c r="P112" s="164"/>
      <c r="Q112" s="240"/>
      <c r="R112" s="164"/>
      <c r="S112" s="241"/>
      <c r="T112" s="164"/>
      <c r="U112" s="233"/>
      <c r="V112" s="164"/>
      <c r="W112" s="234"/>
      <c r="X112" s="164"/>
      <c r="Y112" s="240"/>
      <c r="Z112" s="164"/>
      <c r="AA112" s="234">
        <f t="shared" si="74"/>
        <v>0</v>
      </c>
      <c r="AB112" s="164"/>
      <c r="AC112" s="240"/>
      <c r="AD112" s="164"/>
      <c r="AE112" s="234">
        <f t="shared" si="82"/>
        <v>0</v>
      </c>
      <c r="AF112" s="164"/>
      <c r="AG112" s="240"/>
      <c r="AH112" s="164"/>
      <c r="AI112" s="234">
        <f t="shared" si="84"/>
        <v>0</v>
      </c>
      <c r="AJ112" s="164"/>
      <c r="AK112" s="240"/>
      <c r="AL112" s="164"/>
      <c r="AM112" s="234">
        <f t="shared" si="76"/>
        <v>0</v>
      </c>
      <c r="AN112" s="164">
        <v>15000000</v>
      </c>
      <c r="AO112" s="240"/>
      <c r="AP112" s="164"/>
      <c r="AQ112" s="234">
        <f t="shared" si="77"/>
        <v>0</v>
      </c>
      <c r="AR112" s="164">
        <v>15000000</v>
      </c>
      <c r="AS112" s="240"/>
      <c r="AT112" s="164"/>
      <c r="AU112" s="234">
        <f t="shared" si="78"/>
        <v>0</v>
      </c>
      <c r="AV112" s="164"/>
      <c r="AW112" s="240"/>
      <c r="AX112" s="164"/>
      <c r="AY112" s="234">
        <f t="shared" si="79"/>
        <v>0</v>
      </c>
      <c r="AZ112" s="164"/>
      <c r="BA112" s="240"/>
      <c r="BB112" s="164"/>
      <c r="BC112" s="513">
        <f t="shared" si="43"/>
        <v>0</v>
      </c>
      <c r="BD112" s="164"/>
      <c r="BE112" s="529"/>
      <c r="BF112" s="233"/>
      <c r="BG112" s="164"/>
      <c r="BH112" s="241"/>
      <c r="BI112" s="251" t="s">
        <v>385</v>
      </c>
      <c r="BJ112" s="202"/>
      <c r="BK112" s="202"/>
      <c r="BL112" s="501">
        <f t="shared" si="81"/>
        <v>30000000</v>
      </c>
      <c r="BM112" s="158"/>
      <c r="BN112" s="783"/>
      <c r="BO112" s="132"/>
      <c r="BQ112" s="230"/>
    </row>
    <row r="113" spans="1:69" ht="41.25" customHeight="1" x14ac:dyDescent="0.2">
      <c r="A113" s="1067" t="s">
        <v>297</v>
      </c>
      <c r="B113" s="232" t="s">
        <v>219</v>
      </c>
      <c r="C113" s="232" t="s">
        <v>34</v>
      </c>
      <c r="D113" s="232" t="s">
        <v>222</v>
      </c>
      <c r="E113" s="232" t="s">
        <v>231</v>
      </c>
      <c r="F113" s="430" t="s">
        <v>14</v>
      </c>
      <c r="G113" s="242" t="s">
        <v>448</v>
      </c>
      <c r="H113" s="202">
        <v>26100000</v>
      </c>
      <c r="I113" s="510">
        <f t="shared" si="71"/>
        <v>26100000</v>
      </c>
      <c r="J113" s="164">
        <f t="shared" si="72"/>
        <v>0</v>
      </c>
      <c r="K113" s="164">
        <f t="shared" si="73"/>
        <v>26100000</v>
      </c>
      <c r="L113" s="202"/>
      <c r="M113" s="233"/>
      <c r="N113" s="202"/>
      <c r="O113" s="234"/>
      <c r="P113" s="202"/>
      <c r="Q113" s="512"/>
      <c r="R113" s="202"/>
      <c r="S113" s="241">
        <f>R113-Q113</f>
        <v>0</v>
      </c>
      <c r="T113" s="202"/>
      <c r="U113" s="233"/>
      <c r="V113" s="202"/>
      <c r="W113" s="234">
        <f t="shared" si="83"/>
        <v>0</v>
      </c>
      <c r="X113" s="202"/>
      <c r="Y113" s="233"/>
      <c r="Z113" s="202"/>
      <c r="AA113" s="234">
        <f t="shared" ref="AA113:AA120" si="85">Z113-Y113</f>
        <v>0</v>
      </c>
      <c r="AB113" s="202">
        <v>26100000</v>
      </c>
      <c r="AC113" s="233">
        <v>26100000</v>
      </c>
      <c r="AD113" s="202">
        <v>26100000</v>
      </c>
      <c r="AE113" s="234">
        <f t="shared" ref="AE113:AE120" si="86">AD113-AC113</f>
        <v>0</v>
      </c>
      <c r="AF113" s="202"/>
      <c r="AG113" s="233"/>
      <c r="AH113" s="202"/>
      <c r="AI113" s="234">
        <f t="shared" si="84"/>
        <v>0</v>
      </c>
      <c r="AJ113" s="202"/>
      <c r="AK113" s="233"/>
      <c r="AL113" s="202"/>
      <c r="AM113" s="234">
        <f t="shared" si="76"/>
        <v>0</v>
      </c>
      <c r="AN113" s="202"/>
      <c r="AO113" s="233"/>
      <c r="AP113" s="202"/>
      <c r="AQ113" s="234">
        <f t="shared" ref="AQ113:AQ120" si="87">AP113-AO113</f>
        <v>0</v>
      </c>
      <c r="AR113" s="202"/>
      <c r="AS113" s="233"/>
      <c r="AT113" s="202"/>
      <c r="AU113" s="241">
        <f t="shared" ref="AU113:AU120" si="88">AT113-AS113</f>
        <v>0</v>
      </c>
      <c r="AV113" s="202"/>
      <c r="AW113" s="233"/>
      <c r="AX113" s="202"/>
      <c r="AY113" s="234">
        <f t="shared" si="79"/>
        <v>0</v>
      </c>
      <c r="AZ113" s="202"/>
      <c r="BA113" s="233"/>
      <c r="BB113" s="202"/>
      <c r="BC113" s="513">
        <f t="shared" si="43"/>
        <v>0</v>
      </c>
      <c r="BD113" s="202"/>
      <c r="BE113" s="202"/>
      <c r="BF113" s="233"/>
      <c r="BG113" s="236"/>
      <c r="BH113" s="234">
        <f>BG113-BF113</f>
        <v>0</v>
      </c>
      <c r="BI113" s="526"/>
      <c r="BJ113" s="202"/>
      <c r="BK113" s="202"/>
      <c r="BL113" s="501">
        <f t="shared" si="81"/>
        <v>26100000</v>
      </c>
      <c r="BM113" s="158"/>
      <c r="BN113" s="1176" t="s">
        <v>622</v>
      </c>
      <c r="BO113" s="132"/>
      <c r="BQ113" s="230" t="str">
        <f t="shared" ref="BQ113:BQ119" si="89">IF(BJ113&gt;0,BJ113,"")</f>
        <v/>
      </c>
    </row>
    <row r="114" spans="1:69" ht="41.25" customHeight="1" x14ac:dyDescent="0.2">
      <c r="A114" s="1068"/>
      <c r="B114" s="533" t="s">
        <v>219</v>
      </c>
      <c r="C114" s="533" t="s">
        <v>34</v>
      </c>
      <c r="D114" s="533" t="s">
        <v>222</v>
      </c>
      <c r="E114" s="533" t="s">
        <v>231</v>
      </c>
      <c r="F114" s="535" t="s">
        <v>16</v>
      </c>
      <c r="G114" s="536" t="s">
        <v>448</v>
      </c>
      <c r="H114" s="537">
        <v>63900000</v>
      </c>
      <c r="I114" s="510">
        <f t="shared" si="71"/>
        <v>63900000</v>
      </c>
      <c r="J114" s="164">
        <f t="shared" si="72"/>
        <v>0</v>
      </c>
      <c r="K114" s="164">
        <f t="shared" si="73"/>
        <v>63900000</v>
      </c>
      <c r="L114" s="202"/>
      <c r="M114" s="233"/>
      <c r="N114" s="202"/>
      <c r="O114" s="234"/>
      <c r="P114" s="202"/>
      <c r="Q114" s="512"/>
      <c r="R114" s="202"/>
      <c r="S114" s="241">
        <f>R114-Q114</f>
        <v>0</v>
      </c>
      <c r="T114" s="202"/>
      <c r="U114" s="233"/>
      <c r="V114" s="202"/>
      <c r="W114" s="234">
        <f t="shared" si="83"/>
        <v>0</v>
      </c>
      <c r="X114" s="202"/>
      <c r="Y114" s="233"/>
      <c r="Z114" s="202"/>
      <c r="AA114" s="234">
        <f t="shared" si="85"/>
        <v>0</v>
      </c>
      <c r="AB114" s="202">
        <v>63900000</v>
      </c>
      <c r="AC114" s="233">
        <v>63900000</v>
      </c>
      <c r="AD114" s="202">
        <v>63900000</v>
      </c>
      <c r="AE114" s="234">
        <f t="shared" si="86"/>
        <v>0</v>
      </c>
      <c r="AF114" s="202"/>
      <c r="AG114" s="233"/>
      <c r="AH114" s="202"/>
      <c r="AI114" s="234">
        <f t="shared" si="84"/>
        <v>0</v>
      </c>
      <c r="AJ114" s="202"/>
      <c r="AK114" s="233"/>
      <c r="AL114" s="202"/>
      <c r="AM114" s="241">
        <f t="shared" ref="AM114:AM120" si="90">AL114-AK114</f>
        <v>0</v>
      </c>
      <c r="AN114" s="202"/>
      <c r="AO114" s="233"/>
      <c r="AP114" s="202"/>
      <c r="AQ114" s="234">
        <f t="shared" si="87"/>
        <v>0</v>
      </c>
      <c r="AR114" s="202"/>
      <c r="AS114" s="233"/>
      <c r="AT114" s="202"/>
      <c r="AU114" s="241">
        <f t="shared" si="88"/>
        <v>0</v>
      </c>
      <c r="AV114" s="202"/>
      <c r="AW114" s="233"/>
      <c r="AX114" s="202"/>
      <c r="AY114" s="234">
        <f t="shared" si="79"/>
        <v>0</v>
      </c>
      <c r="AZ114" s="202"/>
      <c r="BA114" s="233"/>
      <c r="BB114" s="202"/>
      <c r="BC114" s="513">
        <f t="shared" si="43"/>
        <v>0</v>
      </c>
      <c r="BD114" s="202"/>
      <c r="BE114" s="202"/>
      <c r="BF114" s="233"/>
      <c r="BG114" s="236"/>
      <c r="BH114" s="234">
        <f>BG114-BF114</f>
        <v>0</v>
      </c>
      <c r="BI114" s="526"/>
      <c r="BJ114" s="202"/>
      <c r="BK114" s="202"/>
      <c r="BL114" s="501">
        <f t="shared" si="81"/>
        <v>63900000</v>
      </c>
      <c r="BM114" s="158"/>
      <c r="BN114" s="1177"/>
      <c r="BO114" s="132"/>
      <c r="BQ114" s="230" t="str">
        <f t="shared" si="89"/>
        <v/>
      </c>
    </row>
    <row r="115" spans="1:69" ht="29.25" customHeight="1" x14ac:dyDescent="0.2">
      <c r="A115" s="1067" t="s">
        <v>35</v>
      </c>
      <c r="B115" s="232" t="s">
        <v>219</v>
      </c>
      <c r="C115" s="232" t="s">
        <v>36</v>
      </c>
      <c r="D115" s="232" t="s">
        <v>331</v>
      </c>
      <c r="E115" s="232" t="s">
        <v>231</v>
      </c>
      <c r="F115" s="430" t="s">
        <v>14</v>
      </c>
      <c r="G115" s="242" t="s">
        <v>448</v>
      </c>
      <c r="H115" s="202">
        <v>20300000</v>
      </c>
      <c r="I115" s="510">
        <f t="shared" si="71"/>
        <v>20300000</v>
      </c>
      <c r="J115" s="164">
        <f t="shared" si="72"/>
        <v>0</v>
      </c>
      <c r="K115" s="164">
        <f t="shared" si="73"/>
        <v>20300000</v>
      </c>
      <c r="L115" s="202"/>
      <c r="M115" s="233"/>
      <c r="N115" s="202"/>
      <c r="O115" s="234"/>
      <c r="P115" s="202"/>
      <c r="Q115" s="512"/>
      <c r="R115" s="202"/>
      <c r="S115" s="241">
        <f>R115-Q115</f>
        <v>0</v>
      </c>
      <c r="T115" s="202"/>
      <c r="U115" s="233"/>
      <c r="V115" s="202"/>
      <c r="W115" s="234">
        <f t="shared" si="83"/>
        <v>0</v>
      </c>
      <c r="X115" s="202"/>
      <c r="Y115" s="233"/>
      <c r="Z115" s="202"/>
      <c r="AA115" s="234">
        <f t="shared" si="85"/>
        <v>0</v>
      </c>
      <c r="AB115" s="202">
        <v>20300000</v>
      </c>
      <c r="AC115" s="233">
        <v>20300000</v>
      </c>
      <c r="AD115" s="202">
        <v>20300000</v>
      </c>
      <c r="AE115" s="234">
        <f t="shared" si="86"/>
        <v>0</v>
      </c>
      <c r="AF115" s="202"/>
      <c r="AG115" s="233"/>
      <c r="AH115" s="202"/>
      <c r="AI115" s="234">
        <f>AH115-AG115</f>
        <v>0</v>
      </c>
      <c r="AJ115" s="202"/>
      <c r="AK115" s="233"/>
      <c r="AL115" s="202"/>
      <c r="AM115" s="241">
        <f t="shared" si="90"/>
        <v>0</v>
      </c>
      <c r="AN115" s="202"/>
      <c r="AO115" s="233"/>
      <c r="AP115" s="202"/>
      <c r="AQ115" s="234">
        <f t="shared" si="87"/>
        <v>0</v>
      </c>
      <c r="AR115" s="202"/>
      <c r="AS115" s="233"/>
      <c r="AT115" s="202"/>
      <c r="AU115" s="241">
        <f t="shared" si="88"/>
        <v>0</v>
      </c>
      <c r="AV115" s="202"/>
      <c r="AW115" s="233"/>
      <c r="AX115" s="202"/>
      <c r="AY115" s="234">
        <f t="shared" si="79"/>
        <v>0</v>
      </c>
      <c r="AZ115" s="202"/>
      <c r="BA115" s="233"/>
      <c r="BB115" s="202"/>
      <c r="BC115" s="513">
        <f t="shared" si="43"/>
        <v>0</v>
      </c>
      <c r="BD115" s="202"/>
      <c r="BE115" s="202"/>
      <c r="BF115" s="233"/>
      <c r="BG115" s="236"/>
      <c r="BH115" s="234"/>
      <c r="BI115" s="526"/>
      <c r="BJ115" s="202"/>
      <c r="BK115" s="202"/>
      <c r="BL115" s="501">
        <f t="shared" si="81"/>
        <v>20300000</v>
      </c>
      <c r="BM115" s="158"/>
      <c r="BN115" s="1176" t="s">
        <v>646</v>
      </c>
      <c r="BO115" s="132"/>
      <c r="BQ115" s="230" t="str">
        <f t="shared" si="89"/>
        <v/>
      </c>
    </row>
    <row r="116" spans="1:69" ht="29.25" customHeight="1" x14ac:dyDescent="0.2">
      <c r="A116" s="1068"/>
      <c r="B116" s="533" t="s">
        <v>219</v>
      </c>
      <c r="C116" s="533" t="s">
        <v>36</v>
      </c>
      <c r="D116" s="533" t="s">
        <v>331</v>
      </c>
      <c r="E116" s="533" t="s">
        <v>231</v>
      </c>
      <c r="F116" s="535" t="s">
        <v>16</v>
      </c>
      <c r="G116" s="536" t="s">
        <v>448</v>
      </c>
      <c r="H116" s="537">
        <v>49700000</v>
      </c>
      <c r="I116" s="510">
        <f t="shared" si="71"/>
        <v>49700000</v>
      </c>
      <c r="J116" s="164">
        <f t="shared" si="72"/>
        <v>0</v>
      </c>
      <c r="K116" s="164">
        <f t="shared" si="73"/>
        <v>49700000</v>
      </c>
      <c r="L116" s="202"/>
      <c r="M116" s="233"/>
      <c r="N116" s="202"/>
      <c r="O116" s="234"/>
      <c r="P116" s="202"/>
      <c r="Q116" s="512"/>
      <c r="R116" s="202"/>
      <c r="S116" s="241">
        <f>R116-Q116</f>
        <v>0</v>
      </c>
      <c r="T116" s="202"/>
      <c r="U116" s="233"/>
      <c r="V116" s="202"/>
      <c r="W116" s="234">
        <f t="shared" si="83"/>
        <v>0</v>
      </c>
      <c r="X116" s="202"/>
      <c r="Y116" s="233"/>
      <c r="Z116" s="202"/>
      <c r="AA116" s="234">
        <f t="shared" si="85"/>
        <v>0</v>
      </c>
      <c r="AB116" s="202">
        <v>49700000</v>
      </c>
      <c r="AC116" s="233">
        <v>49700000</v>
      </c>
      <c r="AD116" s="202">
        <v>49700000</v>
      </c>
      <c r="AE116" s="234">
        <f t="shared" si="86"/>
        <v>0</v>
      </c>
      <c r="AF116" s="202"/>
      <c r="AG116" s="233"/>
      <c r="AH116" s="202"/>
      <c r="AI116" s="234">
        <f t="shared" si="84"/>
        <v>0</v>
      </c>
      <c r="AJ116" s="202"/>
      <c r="AK116" s="233"/>
      <c r="AL116" s="202"/>
      <c r="AM116" s="241">
        <f t="shared" si="90"/>
        <v>0</v>
      </c>
      <c r="AN116" s="202"/>
      <c r="AO116" s="233"/>
      <c r="AP116" s="202"/>
      <c r="AQ116" s="234">
        <f t="shared" si="87"/>
        <v>0</v>
      </c>
      <c r="AR116" s="202"/>
      <c r="AS116" s="233"/>
      <c r="AT116" s="202"/>
      <c r="AU116" s="241">
        <f t="shared" si="88"/>
        <v>0</v>
      </c>
      <c r="AV116" s="202"/>
      <c r="AW116" s="233"/>
      <c r="AX116" s="202"/>
      <c r="AY116" s="234">
        <f t="shared" si="79"/>
        <v>0</v>
      </c>
      <c r="AZ116" s="202"/>
      <c r="BA116" s="233"/>
      <c r="BB116" s="202"/>
      <c r="BC116" s="513">
        <f t="shared" si="43"/>
        <v>0</v>
      </c>
      <c r="BD116" s="202"/>
      <c r="BE116" s="202"/>
      <c r="BF116" s="233"/>
      <c r="BG116" s="236"/>
      <c r="BH116" s="234">
        <f>BG116-BF116</f>
        <v>0</v>
      </c>
      <c r="BI116" s="526"/>
      <c r="BJ116" s="202"/>
      <c r="BK116" s="202"/>
      <c r="BL116" s="501">
        <f t="shared" si="81"/>
        <v>49700000</v>
      </c>
      <c r="BM116" s="158"/>
      <c r="BN116" s="1177"/>
      <c r="BO116" s="132"/>
      <c r="BQ116" s="230" t="str">
        <f t="shared" si="89"/>
        <v/>
      </c>
    </row>
    <row r="117" spans="1:69" ht="45" customHeight="1" x14ac:dyDescent="0.2">
      <c r="A117" s="1085" t="s">
        <v>338</v>
      </c>
      <c r="B117" s="232" t="s">
        <v>219</v>
      </c>
      <c r="C117" s="552" t="s">
        <v>349</v>
      </c>
      <c r="D117" s="232" t="s">
        <v>222</v>
      </c>
      <c r="E117" s="232" t="s">
        <v>231</v>
      </c>
      <c r="F117" s="430" t="s">
        <v>14</v>
      </c>
      <c r="G117" s="242" t="s">
        <v>451</v>
      </c>
      <c r="H117" s="202">
        <v>54357000</v>
      </c>
      <c r="I117" s="510">
        <f t="shared" si="71"/>
        <v>54357000</v>
      </c>
      <c r="J117" s="164">
        <f t="shared" si="72"/>
        <v>0</v>
      </c>
      <c r="K117" s="164">
        <f t="shared" si="73"/>
        <v>40737551.670000002</v>
      </c>
      <c r="L117" s="202"/>
      <c r="M117" s="233"/>
      <c r="N117" s="202"/>
      <c r="O117" s="234"/>
      <c r="P117" s="202"/>
      <c r="Q117" s="512"/>
      <c r="R117" s="202"/>
      <c r="S117" s="241"/>
      <c r="T117" s="202"/>
      <c r="U117" s="233"/>
      <c r="V117" s="202"/>
      <c r="W117" s="234">
        <f t="shared" si="83"/>
        <v>0</v>
      </c>
      <c r="X117" s="202"/>
      <c r="Y117" s="233"/>
      <c r="Z117" s="202"/>
      <c r="AA117" s="234">
        <f t="shared" si="85"/>
        <v>0</v>
      </c>
      <c r="AB117" s="202"/>
      <c r="AC117" s="233"/>
      <c r="AD117" s="522"/>
      <c r="AE117" s="234">
        <f t="shared" si="86"/>
        <v>0</v>
      </c>
      <c r="AF117" s="202">
        <f>54357000-32070630</f>
        <v>22286370</v>
      </c>
      <c r="AG117" s="233">
        <f>54357000-32070630</f>
        <v>22286370</v>
      </c>
      <c r="AH117" s="202">
        <v>22165576.670000002</v>
      </c>
      <c r="AI117" s="234">
        <f t="shared" si="84"/>
        <v>-120793.32999999821</v>
      </c>
      <c r="AJ117" s="202">
        <v>32070630</v>
      </c>
      <c r="AK117" s="233">
        <v>32070630</v>
      </c>
      <c r="AL117" s="202">
        <v>18571975</v>
      </c>
      <c r="AM117" s="241">
        <f t="shared" si="90"/>
        <v>-13498655</v>
      </c>
      <c r="AN117" s="202"/>
      <c r="AO117" s="233"/>
      <c r="AP117" s="202"/>
      <c r="AQ117" s="234">
        <f t="shared" si="87"/>
        <v>0</v>
      </c>
      <c r="AR117" s="202"/>
      <c r="AS117" s="233"/>
      <c r="AT117" s="202"/>
      <c r="AU117" s="241">
        <f t="shared" si="88"/>
        <v>0</v>
      </c>
      <c r="AV117" s="202"/>
      <c r="AW117" s="233"/>
      <c r="AX117" s="202"/>
      <c r="AY117" s="234">
        <f t="shared" si="79"/>
        <v>0</v>
      </c>
      <c r="AZ117" s="202"/>
      <c r="BA117" s="233"/>
      <c r="BB117" s="202"/>
      <c r="BC117" s="513">
        <f t="shared" si="43"/>
        <v>0</v>
      </c>
      <c r="BD117" s="202"/>
      <c r="BE117" s="202"/>
      <c r="BF117" s="233"/>
      <c r="BG117" s="236"/>
      <c r="BH117" s="234">
        <f>BG117-BF117</f>
        <v>0</v>
      </c>
      <c r="BI117" s="526"/>
      <c r="BJ117" s="202"/>
      <c r="BK117" s="202"/>
      <c r="BL117" s="501">
        <f t="shared" si="81"/>
        <v>54357000</v>
      </c>
      <c r="BM117" s="239"/>
      <c r="BN117" s="1176" t="s">
        <v>653</v>
      </c>
      <c r="BO117" s="132"/>
      <c r="BQ117" s="230" t="str">
        <f t="shared" si="89"/>
        <v/>
      </c>
    </row>
    <row r="118" spans="1:69" ht="34.5" customHeight="1" x14ac:dyDescent="0.2">
      <c r="A118" s="1086"/>
      <c r="B118" s="533" t="s">
        <v>219</v>
      </c>
      <c r="C118" s="533" t="s">
        <v>349</v>
      </c>
      <c r="D118" s="533" t="s">
        <v>222</v>
      </c>
      <c r="E118" s="533" t="s">
        <v>231</v>
      </c>
      <c r="F118" s="533" t="s">
        <v>16</v>
      </c>
      <c r="G118" s="536" t="s">
        <v>451</v>
      </c>
      <c r="H118" s="537">
        <v>35643000</v>
      </c>
      <c r="I118" s="510">
        <f t="shared" si="71"/>
        <v>35643000</v>
      </c>
      <c r="J118" s="164">
        <f t="shared" si="72"/>
        <v>0</v>
      </c>
      <c r="K118" s="164">
        <f t="shared" si="73"/>
        <v>26712448.329999998</v>
      </c>
      <c r="L118" s="202"/>
      <c r="M118" s="233"/>
      <c r="N118" s="202"/>
      <c r="O118" s="234"/>
      <c r="P118" s="202"/>
      <c r="Q118" s="512"/>
      <c r="R118" s="202"/>
      <c r="S118" s="241"/>
      <c r="T118" s="202"/>
      <c r="U118" s="233"/>
      <c r="V118" s="202"/>
      <c r="W118" s="234">
        <f t="shared" si="83"/>
        <v>0</v>
      </c>
      <c r="X118" s="202"/>
      <c r="Y118" s="233"/>
      <c r="Z118" s="202"/>
      <c r="AA118" s="234">
        <f t="shared" si="85"/>
        <v>0</v>
      </c>
      <c r="AB118" s="202"/>
      <c r="AC118" s="233"/>
      <c r="AD118" s="522"/>
      <c r="AE118" s="234">
        <f t="shared" si="86"/>
        <v>0</v>
      </c>
      <c r="AF118" s="202">
        <f>35643000-21029370</f>
        <v>14613630</v>
      </c>
      <c r="AG118" s="233">
        <f>35643000-21029370</f>
        <v>14613630</v>
      </c>
      <c r="AH118" s="202">
        <v>14534423.33</v>
      </c>
      <c r="AI118" s="234">
        <f t="shared" si="84"/>
        <v>-79206.669999999925</v>
      </c>
      <c r="AJ118" s="202">
        <v>21029370</v>
      </c>
      <c r="AK118" s="233">
        <v>21029370</v>
      </c>
      <c r="AL118" s="202">
        <f>12178025</f>
        <v>12178025</v>
      </c>
      <c r="AM118" s="241">
        <f t="shared" si="90"/>
        <v>-8851345</v>
      </c>
      <c r="AN118" s="202"/>
      <c r="AO118" s="233"/>
      <c r="AP118" s="202"/>
      <c r="AQ118" s="234">
        <f t="shared" si="87"/>
        <v>0</v>
      </c>
      <c r="AR118" s="202"/>
      <c r="AS118" s="233"/>
      <c r="AT118" s="202"/>
      <c r="AU118" s="241">
        <f t="shared" si="88"/>
        <v>0</v>
      </c>
      <c r="AV118" s="202"/>
      <c r="AW118" s="233"/>
      <c r="AX118" s="202"/>
      <c r="AY118" s="234">
        <f t="shared" si="79"/>
        <v>0</v>
      </c>
      <c r="AZ118" s="202"/>
      <c r="BA118" s="233"/>
      <c r="BB118" s="202"/>
      <c r="BC118" s="513">
        <f t="shared" si="43"/>
        <v>0</v>
      </c>
      <c r="BD118" s="202"/>
      <c r="BE118" s="202"/>
      <c r="BF118" s="233"/>
      <c r="BG118" s="236"/>
      <c r="BH118" s="234">
        <f>BG118-BF118</f>
        <v>0</v>
      </c>
      <c r="BI118" s="526"/>
      <c r="BJ118" s="202"/>
      <c r="BK118" s="202"/>
      <c r="BL118" s="501">
        <f t="shared" si="81"/>
        <v>35643000</v>
      </c>
      <c r="BM118" s="158"/>
      <c r="BN118" s="1177"/>
      <c r="BO118" s="132"/>
      <c r="BQ118" s="230" t="str">
        <f t="shared" si="89"/>
        <v/>
      </c>
    </row>
    <row r="119" spans="1:69" ht="27" customHeight="1" x14ac:dyDescent="0.2">
      <c r="A119" s="1067" t="s">
        <v>45</v>
      </c>
      <c r="B119" s="232" t="s">
        <v>219</v>
      </c>
      <c r="C119" s="552" t="s">
        <v>350</v>
      </c>
      <c r="D119" s="232" t="s">
        <v>328</v>
      </c>
      <c r="E119" s="232" t="s">
        <v>231</v>
      </c>
      <c r="F119" s="430" t="s">
        <v>14</v>
      </c>
      <c r="G119" s="242" t="s">
        <v>451</v>
      </c>
      <c r="H119" s="202">
        <v>45531593.640000001</v>
      </c>
      <c r="I119" s="510">
        <f t="shared" si="71"/>
        <v>45531593.640000001</v>
      </c>
      <c r="J119" s="164">
        <f t="shared" si="72"/>
        <v>0</v>
      </c>
      <c r="K119" s="164">
        <f t="shared" si="73"/>
        <v>17917596.379999999</v>
      </c>
      <c r="L119" s="202"/>
      <c r="M119" s="233"/>
      <c r="N119" s="202"/>
      <c r="O119" s="234"/>
      <c r="P119" s="202"/>
      <c r="Q119" s="512"/>
      <c r="R119" s="202"/>
      <c r="S119" s="241"/>
      <c r="T119" s="202"/>
      <c r="U119" s="233"/>
      <c r="V119" s="202"/>
      <c r="W119" s="234">
        <f t="shared" si="83"/>
        <v>0</v>
      </c>
      <c r="X119" s="202"/>
      <c r="Y119" s="233"/>
      <c r="Z119" s="202"/>
      <c r="AA119" s="234">
        <f t="shared" si="85"/>
        <v>0</v>
      </c>
      <c r="AB119" s="202">
        <f>15099166.67-9128598.73</f>
        <v>5970567.9399999995</v>
      </c>
      <c r="AC119" s="233">
        <f>15099166.67-9128598.73</f>
        <v>5970567.9399999995</v>
      </c>
      <c r="AD119" s="202">
        <v>5970567.9400000004</v>
      </c>
      <c r="AE119" s="234">
        <f t="shared" si="86"/>
        <v>0</v>
      </c>
      <c r="AF119" s="202">
        <f>12200126.67-253098.23</f>
        <v>11947028.439999999</v>
      </c>
      <c r="AG119" s="233">
        <f>12200126.67-253098.23</f>
        <v>11947028.439999999</v>
      </c>
      <c r="AH119" s="202">
        <v>11947028.439999999</v>
      </c>
      <c r="AI119" s="234">
        <f t="shared" si="84"/>
        <v>0</v>
      </c>
      <c r="AJ119" s="202"/>
      <c r="AK119" s="233"/>
      <c r="AL119" s="202"/>
      <c r="AM119" s="241">
        <f t="shared" si="90"/>
        <v>0</v>
      </c>
      <c r="AN119" s="202">
        <v>12351552.970000001</v>
      </c>
      <c r="AO119" s="233"/>
      <c r="AP119" s="202"/>
      <c r="AQ119" s="234">
        <f t="shared" si="87"/>
        <v>0</v>
      </c>
      <c r="AR119" s="202"/>
      <c r="AS119" s="233"/>
      <c r="AT119" s="202"/>
      <c r="AU119" s="241">
        <f t="shared" si="88"/>
        <v>0</v>
      </c>
      <c r="AV119" s="202">
        <v>15262444.289999999</v>
      </c>
      <c r="AW119" s="233"/>
      <c r="AX119" s="202"/>
      <c r="AY119" s="234">
        <f t="shared" si="79"/>
        <v>0</v>
      </c>
      <c r="AZ119" s="202"/>
      <c r="BA119" s="233"/>
      <c r="BB119" s="202"/>
      <c r="BC119" s="513">
        <f t="shared" si="43"/>
        <v>0</v>
      </c>
      <c r="BD119" s="202"/>
      <c r="BE119" s="202"/>
      <c r="BF119" s="233"/>
      <c r="BG119" s="236"/>
      <c r="BH119" s="234">
        <f>BG119-BF119</f>
        <v>0</v>
      </c>
      <c r="BI119" s="526"/>
      <c r="BJ119" s="202"/>
      <c r="BK119" s="202"/>
      <c r="BL119" s="501">
        <f t="shared" si="81"/>
        <v>45531593.640000001</v>
      </c>
      <c r="BM119" s="239"/>
      <c r="BN119" s="1176" t="s">
        <v>652</v>
      </c>
      <c r="BO119" s="132"/>
      <c r="BQ119" s="230" t="str">
        <f t="shared" si="89"/>
        <v/>
      </c>
    </row>
    <row r="120" spans="1:69" ht="27" customHeight="1" x14ac:dyDescent="0.2">
      <c r="A120" s="1068"/>
      <c r="B120" s="533" t="s">
        <v>219</v>
      </c>
      <c r="C120" s="533" t="s">
        <v>350</v>
      </c>
      <c r="D120" s="533" t="s">
        <v>328</v>
      </c>
      <c r="E120" s="533" t="s">
        <v>231</v>
      </c>
      <c r="F120" s="533" t="s">
        <v>16</v>
      </c>
      <c r="G120" s="536" t="s">
        <v>451</v>
      </c>
      <c r="H120" s="537">
        <v>29856000</v>
      </c>
      <c r="I120" s="510">
        <f t="shared" si="71"/>
        <v>29856000</v>
      </c>
      <c r="J120" s="164">
        <f t="shared" si="72"/>
        <v>0</v>
      </c>
      <c r="K120" s="164">
        <f t="shared" si="73"/>
        <v>11748935.52</v>
      </c>
      <c r="L120" s="202"/>
      <c r="M120" s="233"/>
      <c r="N120" s="202"/>
      <c r="O120" s="234"/>
      <c r="P120" s="202"/>
      <c r="Q120" s="512"/>
      <c r="R120" s="202"/>
      <c r="S120" s="241"/>
      <c r="T120" s="202"/>
      <c r="U120" s="233"/>
      <c r="V120" s="202"/>
      <c r="W120" s="234">
        <f t="shared" si="83"/>
        <v>0</v>
      </c>
      <c r="X120" s="202"/>
      <c r="Y120" s="233"/>
      <c r="Z120" s="202"/>
      <c r="AA120" s="234">
        <f t="shared" si="85"/>
        <v>0</v>
      </c>
      <c r="AB120" s="202">
        <f>9900833.33-5985809.45</f>
        <v>3915023.88</v>
      </c>
      <c r="AC120" s="233">
        <f>9900833.33-5985809.45</f>
        <v>3915023.88</v>
      </c>
      <c r="AD120" s="202">
        <v>3915023.88</v>
      </c>
      <c r="AE120" s="234">
        <f t="shared" si="86"/>
        <v>0</v>
      </c>
      <c r="AF120" s="202">
        <f>7999873.33-165961.69</f>
        <v>7833911.6399999997</v>
      </c>
      <c r="AG120" s="233">
        <f>7999873.33-165961.69</f>
        <v>7833911.6399999997</v>
      </c>
      <c r="AH120" s="202">
        <v>7833911.6399999997</v>
      </c>
      <c r="AI120" s="234">
        <f t="shared" si="84"/>
        <v>0</v>
      </c>
      <c r="AJ120" s="202"/>
      <c r="AK120" s="233"/>
      <c r="AL120" s="202"/>
      <c r="AM120" s="241">
        <f t="shared" si="90"/>
        <v>0</v>
      </c>
      <c r="AN120" s="202">
        <v>8099166.6699999999</v>
      </c>
      <c r="AO120" s="233"/>
      <c r="AP120" s="202"/>
      <c r="AQ120" s="234">
        <f t="shared" si="87"/>
        <v>0</v>
      </c>
      <c r="AR120" s="202"/>
      <c r="AS120" s="233"/>
      <c r="AT120" s="202"/>
      <c r="AU120" s="241">
        <f t="shared" si="88"/>
        <v>0</v>
      </c>
      <c r="AV120" s="202">
        <v>10007897.810000001</v>
      </c>
      <c r="AW120" s="233"/>
      <c r="AX120" s="202"/>
      <c r="AY120" s="234">
        <f t="shared" si="79"/>
        <v>0</v>
      </c>
      <c r="AZ120" s="202"/>
      <c r="BA120" s="233"/>
      <c r="BB120" s="202"/>
      <c r="BC120" s="513">
        <f t="shared" si="43"/>
        <v>0</v>
      </c>
      <c r="BD120" s="202"/>
      <c r="BE120" s="202"/>
      <c r="BF120" s="233"/>
      <c r="BG120" s="236"/>
      <c r="BH120" s="234">
        <f>BG120-BF120</f>
        <v>0</v>
      </c>
      <c r="BI120" s="526"/>
      <c r="BJ120" s="202"/>
      <c r="BK120" s="202"/>
      <c r="BL120" s="501">
        <f t="shared" si="81"/>
        <v>29856000</v>
      </c>
      <c r="BM120" s="158"/>
      <c r="BN120" s="1177"/>
      <c r="BO120" s="132"/>
      <c r="BQ120" s="230"/>
    </row>
    <row r="121" spans="1:69" s="670" customFormat="1" ht="39.75" customHeight="1" x14ac:dyDescent="0.2">
      <c r="A121" s="1111" t="s">
        <v>233</v>
      </c>
      <c r="B121" s="1112"/>
      <c r="C121" s="1113"/>
      <c r="D121" s="657"/>
      <c r="E121" s="658"/>
      <c r="F121" s="659" t="s">
        <v>14</v>
      </c>
      <c r="G121" s="658"/>
      <c r="H121" s="660">
        <f t="shared" ref="H121:AM121" si="91">SUMIF($F$123:$F$141,"=31",H123:H141)</f>
        <v>282074528.15999997</v>
      </c>
      <c r="I121" s="660">
        <f t="shared" si="91"/>
        <v>282074528.15999997</v>
      </c>
      <c r="J121" s="660">
        <f t="shared" si="91"/>
        <v>-3.5242919693700969E-12</v>
      </c>
      <c r="K121" s="660">
        <f t="shared" si="91"/>
        <v>117640376.50000001</v>
      </c>
      <c r="L121" s="660">
        <f t="shared" si="91"/>
        <v>0</v>
      </c>
      <c r="M121" s="660">
        <f t="shared" si="91"/>
        <v>0</v>
      </c>
      <c r="N121" s="660">
        <f t="shared" si="91"/>
        <v>0</v>
      </c>
      <c r="O121" s="660">
        <f t="shared" si="91"/>
        <v>0</v>
      </c>
      <c r="P121" s="660">
        <f t="shared" si="91"/>
        <v>0</v>
      </c>
      <c r="Q121" s="660">
        <f t="shared" si="91"/>
        <v>0</v>
      </c>
      <c r="R121" s="660">
        <f t="shared" si="91"/>
        <v>0</v>
      </c>
      <c r="S121" s="660">
        <f t="shared" si="91"/>
        <v>0</v>
      </c>
      <c r="T121" s="660">
        <f t="shared" si="91"/>
        <v>9813138.4899999984</v>
      </c>
      <c r="U121" s="660">
        <f t="shared" si="91"/>
        <v>9813138.4899999984</v>
      </c>
      <c r="V121" s="660">
        <f t="shared" si="91"/>
        <v>9813138.4899999984</v>
      </c>
      <c r="W121" s="660">
        <f t="shared" si="91"/>
        <v>0</v>
      </c>
      <c r="X121" s="660">
        <f t="shared" si="91"/>
        <v>1737155.3</v>
      </c>
      <c r="Y121" s="660">
        <f t="shared" si="91"/>
        <v>1737155.3</v>
      </c>
      <c r="Z121" s="660">
        <f t="shared" si="91"/>
        <v>1737155.3</v>
      </c>
      <c r="AA121" s="660">
        <f t="shared" si="91"/>
        <v>0</v>
      </c>
      <c r="AB121" s="660">
        <f t="shared" si="91"/>
        <v>54946829.479999989</v>
      </c>
      <c r="AC121" s="660">
        <f t="shared" si="91"/>
        <v>54946829.479999989</v>
      </c>
      <c r="AD121" s="660">
        <f t="shared" si="91"/>
        <v>54946829.479999989</v>
      </c>
      <c r="AE121" s="660">
        <f t="shared" si="91"/>
        <v>0</v>
      </c>
      <c r="AF121" s="660">
        <f t="shared" si="91"/>
        <v>51143253.230000004</v>
      </c>
      <c r="AG121" s="660">
        <f t="shared" si="91"/>
        <v>51143253.230000004</v>
      </c>
      <c r="AH121" s="660">
        <f t="shared" si="91"/>
        <v>51143253.230000004</v>
      </c>
      <c r="AI121" s="660">
        <f t="shared" si="91"/>
        <v>0</v>
      </c>
      <c r="AJ121" s="660">
        <f t="shared" si="91"/>
        <v>6789344.8799999999</v>
      </c>
      <c r="AK121" s="660">
        <f t="shared" si="91"/>
        <v>6789344.8799999999</v>
      </c>
      <c r="AL121" s="660">
        <f t="shared" si="91"/>
        <v>0</v>
      </c>
      <c r="AM121" s="660">
        <f t="shared" si="91"/>
        <v>-6789344.8799999999</v>
      </c>
      <c r="AN121" s="660">
        <f t="shared" ref="AN121:BH121" si="92">SUMIF($F$123:$F$141,"=31",AN123:AN141)</f>
        <v>6788112.3899999997</v>
      </c>
      <c r="AO121" s="660">
        <f t="shared" si="92"/>
        <v>43112.39</v>
      </c>
      <c r="AP121" s="660">
        <f t="shared" si="92"/>
        <v>0</v>
      </c>
      <c r="AQ121" s="660">
        <f t="shared" si="92"/>
        <v>-43112.39</v>
      </c>
      <c r="AR121" s="660">
        <f t="shared" si="92"/>
        <v>6755901.6399999997</v>
      </c>
      <c r="AS121" s="660">
        <f t="shared" si="92"/>
        <v>0</v>
      </c>
      <c r="AT121" s="660">
        <f t="shared" si="92"/>
        <v>0</v>
      </c>
      <c r="AU121" s="660">
        <f t="shared" si="92"/>
        <v>0</v>
      </c>
      <c r="AV121" s="660">
        <f t="shared" si="92"/>
        <v>86851838.939999998</v>
      </c>
      <c r="AW121" s="660">
        <f t="shared" si="92"/>
        <v>0</v>
      </c>
      <c r="AX121" s="660">
        <f t="shared" si="92"/>
        <v>0</v>
      </c>
      <c r="AY121" s="660">
        <f t="shared" si="92"/>
        <v>0</v>
      </c>
      <c r="AZ121" s="660">
        <f t="shared" si="92"/>
        <v>22399480.18</v>
      </c>
      <c r="BA121" s="660">
        <f t="shared" si="92"/>
        <v>0</v>
      </c>
      <c r="BB121" s="660">
        <f t="shared" si="92"/>
        <v>0</v>
      </c>
      <c r="BC121" s="660">
        <f t="shared" si="92"/>
        <v>0</v>
      </c>
      <c r="BD121" s="660">
        <f t="shared" si="92"/>
        <v>34849473.629999995</v>
      </c>
      <c r="BE121" s="660">
        <f t="shared" si="92"/>
        <v>0</v>
      </c>
      <c r="BF121" s="660">
        <f t="shared" si="92"/>
        <v>0</v>
      </c>
      <c r="BG121" s="660">
        <f t="shared" si="92"/>
        <v>0</v>
      </c>
      <c r="BH121" s="660">
        <f t="shared" si="92"/>
        <v>0</v>
      </c>
      <c r="BI121" s="660"/>
      <c r="BJ121" s="660">
        <f>SUMIF($F$123:$F$141,"=31",BJ123:BJ141)</f>
        <v>0</v>
      </c>
      <c r="BK121" s="660">
        <f>SUMIF($F$123:$F$141,"=31",BK123:BK141)</f>
        <v>0</v>
      </c>
      <c r="BL121" s="660">
        <f>SUMIF($F$123:$F$141,"=31",BL123:BL141)</f>
        <v>282074528.15999997</v>
      </c>
      <c r="BM121" s="770">
        <f>SUMIF($F$123:$F$141,"=31",BM123:BM141)</f>
        <v>0</v>
      </c>
      <c r="BN121" s="646"/>
      <c r="BO121" s="900"/>
      <c r="BQ121" s="652" t="str">
        <f>IF(BJ121&gt;0,BJ121,"")</f>
        <v/>
      </c>
    </row>
    <row r="122" spans="1:69" s="672" customFormat="1" ht="39.75" customHeight="1" x14ac:dyDescent="0.2">
      <c r="A122" s="1161" t="s">
        <v>234</v>
      </c>
      <c r="B122" s="1162"/>
      <c r="C122" s="1162"/>
      <c r="D122" s="667"/>
      <c r="E122" s="668"/>
      <c r="F122" s="669" t="s">
        <v>16</v>
      </c>
      <c r="G122" s="668"/>
      <c r="H122" s="655">
        <f t="shared" ref="H122:AM122" si="93">SUMIF($F$123:$F$141,"=32",H123:H141)</f>
        <v>27972800</v>
      </c>
      <c r="I122" s="671">
        <f t="shared" si="93"/>
        <v>27972800</v>
      </c>
      <c r="J122" s="655">
        <f t="shared" si="93"/>
        <v>0</v>
      </c>
      <c r="K122" s="655">
        <f t="shared" si="93"/>
        <v>27800396.350000001</v>
      </c>
      <c r="L122" s="655">
        <f t="shared" si="93"/>
        <v>0</v>
      </c>
      <c r="M122" s="655">
        <f t="shared" si="93"/>
        <v>0</v>
      </c>
      <c r="N122" s="655">
        <f t="shared" si="93"/>
        <v>0</v>
      </c>
      <c r="O122" s="655">
        <f t="shared" si="93"/>
        <v>0</v>
      </c>
      <c r="P122" s="655">
        <f t="shared" si="93"/>
        <v>0</v>
      </c>
      <c r="Q122" s="655">
        <f t="shared" si="93"/>
        <v>0</v>
      </c>
      <c r="R122" s="655">
        <f t="shared" si="93"/>
        <v>0</v>
      </c>
      <c r="S122" s="655">
        <f t="shared" si="93"/>
        <v>0</v>
      </c>
      <c r="T122" s="655">
        <f t="shared" si="93"/>
        <v>21129609.120000001</v>
      </c>
      <c r="U122" s="655">
        <f t="shared" si="93"/>
        <v>21129609.120000001</v>
      </c>
      <c r="V122" s="655">
        <f t="shared" si="93"/>
        <v>21129609.120000001</v>
      </c>
      <c r="W122" s="655">
        <f t="shared" si="93"/>
        <v>0</v>
      </c>
      <c r="X122" s="655">
        <f t="shared" si="93"/>
        <v>4381614.3099999996</v>
      </c>
      <c r="Y122" s="655">
        <f t="shared" si="93"/>
        <v>4381614.3099999996</v>
      </c>
      <c r="Z122" s="655">
        <f t="shared" si="93"/>
        <v>4381614.3099999996</v>
      </c>
      <c r="AA122" s="655">
        <f t="shared" si="93"/>
        <v>0</v>
      </c>
      <c r="AB122" s="655">
        <f t="shared" si="93"/>
        <v>2161385.88</v>
      </c>
      <c r="AC122" s="655">
        <f t="shared" si="93"/>
        <v>2161385.88</v>
      </c>
      <c r="AD122" s="655">
        <f t="shared" si="93"/>
        <v>2161385.88</v>
      </c>
      <c r="AE122" s="655">
        <f t="shared" si="93"/>
        <v>0</v>
      </c>
      <c r="AF122" s="655">
        <f t="shared" si="93"/>
        <v>127787.04</v>
      </c>
      <c r="AG122" s="655">
        <f t="shared" si="93"/>
        <v>127787.04</v>
      </c>
      <c r="AH122" s="655">
        <f t="shared" si="93"/>
        <v>127787.04</v>
      </c>
      <c r="AI122" s="655">
        <f t="shared" si="93"/>
        <v>0</v>
      </c>
      <c r="AJ122" s="655">
        <f t="shared" si="93"/>
        <v>120941.94</v>
      </c>
      <c r="AK122" s="655">
        <f t="shared" si="93"/>
        <v>120941.94</v>
      </c>
      <c r="AL122" s="655">
        <f t="shared" si="93"/>
        <v>0</v>
      </c>
      <c r="AM122" s="655">
        <f t="shared" si="93"/>
        <v>-120941.94</v>
      </c>
      <c r="AN122" s="655">
        <f t="shared" ref="AN122:BH122" si="94">SUMIF($F$123:$F$141,"=32",AN123:AN141)</f>
        <v>51461.71</v>
      </c>
      <c r="AO122" s="655">
        <f t="shared" si="94"/>
        <v>51461.71</v>
      </c>
      <c r="AP122" s="655">
        <f t="shared" si="94"/>
        <v>0</v>
      </c>
      <c r="AQ122" s="655">
        <f t="shared" si="94"/>
        <v>-51461.71</v>
      </c>
      <c r="AR122" s="655">
        <f t="shared" si="94"/>
        <v>0</v>
      </c>
      <c r="AS122" s="655">
        <f t="shared" si="94"/>
        <v>0</v>
      </c>
      <c r="AT122" s="655">
        <f t="shared" si="94"/>
        <v>0</v>
      </c>
      <c r="AU122" s="655">
        <f t="shared" si="94"/>
        <v>0</v>
      </c>
      <c r="AV122" s="655">
        <f t="shared" si="94"/>
        <v>0</v>
      </c>
      <c r="AW122" s="655">
        <f t="shared" si="94"/>
        <v>0</v>
      </c>
      <c r="AX122" s="655">
        <f t="shared" si="94"/>
        <v>0</v>
      </c>
      <c r="AY122" s="655">
        <f t="shared" si="94"/>
        <v>0</v>
      </c>
      <c r="AZ122" s="655">
        <f t="shared" si="94"/>
        <v>0</v>
      </c>
      <c r="BA122" s="655">
        <f t="shared" si="94"/>
        <v>0</v>
      </c>
      <c r="BB122" s="655">
        <f t="shared" si="94"/>
        <v>0</v>
      </c>
      <c r="BC122" s="655">
        <f t="shared" si="94"/>
        <v>0</v>
      </c>
      <c r="BD122" s="655">
        <f t="shared" si="94"/>
        <v>0</v>
      </c>
      <c r="BE122" s="655">
        <f t="shared" si="94"/>
        <v>0</v>
      </c>
      <c r="BF122" s="655">
        <f t="shared" si="94"/>
        <v>0</v>
      </c>
      <c r="BG122" s="655">
        <f t="shared" si="94"/>
        <v>0</v>
      </c>
      <c r="BH122" s="655">
        <f t="shared" si="94"/>
        <v>0</v>
      </c>
      <c r="BI122" s="655"/>
      <c r="BJ122" s="655">
        <f>SUMIF($F$123:$F$141,"=32",BJ123:BJ141)</f>
        <v>0</v>
      </c>
      <c r="BK122" s="655">
        <f>SUMIF($F$123:$F$141,"=32",BK123:BK141)</f>
        <v>0</v>
      </c>
      <c r="BL122" s="655">
        <f>SUMIF($F$123:$F$141,"=32",BL123:BL141)</f>
        <v>27972800</v>
      </c>
      <c r="BM122" s="769">
        <f>SUMIF($F$123:$F$141,"=32",BM123:BM141)</f>
        <v>0</v>
      </c>
      <c r="BN122" s="646"/>
      <c r="BO122" s="901"/>
      <c r="BQ122" s="652" t="str">
        <f>IF(BJ122&gt;0,BJ122,"")</f>
        <v/>
      </c>
    </row>
    <row r="123" spans="1:69" ht="47.25" x14ac:dyDescent="0.2">
      <c r="A123" s="1007" t="s">
        <v>684</v>
      </c>
      <c r="B123" s="232" t="s">
        <v>219</v>
      </c>
      <c r="C123" s="561" t="s">
        <v>683</v>
      </c>
      <c r="D123" s="232" t="s">
        <v>12</v>
      </c>
      <c r="E123" s="242" t="s">
        <v>221</v>
      </c>
      <c r="F123" s="430" t="s">
        <v>14</v>
      </c>
      <c r="G123" s="242"/>
      <c r="H123" s="25">
        <v>7658000</v>
      </c>
      <c r="I123" s="635">
        <f t="shared" ref="I123" si="95">L123+P123+T123+X123+AB123+AF123+AJ123+AN123+AR123+AV123+AZ123+BD123</f>
        <v>7658000</v>
      </c>
      <c r="J123" s="625">
        <f>H123-I123</f>
        <v>0</v>
      </c>
      <c r="K123" s="625">
        <f t="shared" ref="K123" si="96">N123+R123+V123+Z123+AD123+AH123+AL123+AP123+AT123+AX123+BB123+BG123</f>
        <v>0</v>
      </c>
      <c r="L123" s="988"/>
      <c r="M123" s="628"/>
      <c r="N123" s="988"/>
      <c r="O123" s="629"/>
      <c r="P123" s="988"/>
      <c r="Q123" s="630"/>
      <c r="R123" s="988"/>
      <c r="S123" s="629"/>
      <c r="T123" s="988"/>
      <c r="U123" s="628"/>
      <c r="V123" s="988"/>
      <c r="W123" s="632"/>
      <c r="X123" s="631"/>
      <c r="Y123" s="628"/>
      <c r="Z123" s="988"/>
      <c r="AA123" s="629"/>
      <c r="AB123" s="988"/>
      <c r="AC123" s="628"/>
      <c r="AD123" s="988"/>
      <c r="AE123" s="629"/>
      <c r="AF123" s="988"/>
      <c r="AG123" s="628"/>
      <c r="AH123" s="988"/>
      <c r="AI123" s="629"/>
      <c r="AJ123" s="988"/>
      <c r="AK123" s="628"/>
      <c r="AL123" s="988"/>
      <c r="AM123" s="629"/>
      <c r="AN123" s="25"/>
      <c r="AO123" s="628"/>
      <c r="AP123" s="988"/>
      <c r="AQ123" s="632"/>
      <c r="AR123" s="988"/>
      <c r="AS123" s="628"/>
      <c r="AT123" s="988"/>
      <c r="AU123" s="629"/>
      <c r="AV123" s="988"/>
      <c r="AW123" s="628"/>
      <c r="AX123" s="988"/>
      <c r="AY123" s="629"/>
      <c r="AZ123" s="988"/>
      <c r="BA123" s="628"/>
      <c r="BB123" s="988"/>
      <c r="BC123" s="633"/>
      <c r="BD123" s="988">
        <v>7658000</v>
      </c>
      <c r="BE123" s="988"/>
      <c r="BF123" s="240"/>
      <c r="BG123" s="989"/>
      <c r="BH123" s="556"/>
      <c r="BI123" s="526"/>
      <c r="BJ123" s="202"/>
      <c r="BK123" s="202"/>
      <c r="BL123" s="501">
        <f>H123+BJ123+BK123</f>
        <v>7658000</v>
      </c>
      <c r="BM123" s="158"/>
      <c r="BN123" s="990"/>
      <c r="BO123" s="132"/>
      <c r="BQ123" s="230"/>
    </row>
    <row r="124" spans="1:69" ht="24.75" customHeight="1" x14ac:dyDescent="0.2">
      <c r="A124" s="1163" t="s">
        <v>314</v>
      </c>
      <c r="B124" s="232" t="s">
        <v>219</v>
      </c>
      <c r="C124" s="242" t="s">
        <v>111</v>
      </c>
      <c r="D124" s="232" t="s">
        <v>12</v>
      </c>
      <c r="E124" s="232" t="s">
        <v>221</v>
      </c>
      <c r="F124" s="430" t="s">
        <v>14</v>
      </c>
      <c r="G124" s="232"/>
      <c r="H124" s="202">
        <v>4275026.55</v>
      </c>
      <c r="I124" s="510">
        <f>L124+P124+T124+X124+AB124+AF124+AJ124+AN124+AR124+AV124+AZ124+BD124</f>
        <v>4275026.55</v>
      </c>
      <c r="J124" s="557">
        <f>H124-I124</f>
        <v>0</v>
      </c>
      <c r="K124" s="558">
        <f>N124+R124+V124+Z124+AD124+AH124+AL124+AP124+AT124+AX124+BB124+BG124</f>
        <v>1021367.45</v>
      </c>
      <c r="L124" s="164"/>
      <c r="M124" s="240"/>
      <c r="N124" s="164"/>
      <c r="O124" s="241"/>
      <c r="P124" s="164"/>
      <c r="Q124" s="554"/>
      <c r="R124" s="164"/>
      <c r="S124" s="241"/>
      <c r="T124" s="164">
        <v>1021367.45</v>
      </c>
      <c r="U124" s="240">
        <v>1021367.45</v>
      </c>
      <c r="V124" s="164">
        <v>1021367.45</v>
      </c>
      <c r="W124" s="234">
        <f>V124-U124</f>
        <v>0</v>
      </c>
      <c r="X124" s="559"/>
      <c r="Y124" s="240"/>
      <c r="Z124" s="164"/>
      <c r="AA124" s="241">
        <f>Z124-Y124</f>
        <v>0</v>
      </c>
      <c r="AB124" s="164"/>
      <c r="AC124" s="240"/>
      <c r="AD124" s="164"/>
      <c r="AE124" s="234">
        <f>AD124-AC124</f>
        <v>0</v>
      </c>
      <c r="AF124" s="164"/>
      <c r="AG124" s="240"/>
      <c r="AH124" s="164"/>
      <c r="AI124" s="241">
        <f>AH124-AG124</f>
        <v>0</v>
      </c>
      <c r="AJ124" s="164"/>
      <c r="AK124" s="240"/>
      <c r="AL124" s="164"/>
      <c r="AM124" s="241">
        <f>AL124-AK124</f>
        <v>0</v>
      </c>
      <c r="AN124" s="164"/>
      <c r="AO124" s="240"/>
      <c r="AP124" s="164"/>
      <c r="AQ124" s="234">
        <f>AP124-AO124</f>
        <v>0</v>
      </c>
      <c r="AR124" s="164"/>
      <c r="AS124" s="240"/>
      <c r="AT124" s="164"/>
      <c r="AU124" s="241">
        <f>AT124-AS124</f>
        <v>0</v>
      </c>
      <c r="AV124" s="164"/>
      <c r="AW124" s="240"/>
      <c r="AX124" s="164"/>
      <c r="AY124" s="241">
        <f>AX124-AW124</f>
        <v>0</v>
      </c>
      <c r="AZ124" s="164">
        <v>2666607.21</v>
      </c>
      <c r="BA124" s="240"/>
      <c r="BB124" s="164"/>
      <c r="BC124" s="556">
        <f>BB124-BA124</f>
        <v>0</v>
      </c>
      <c r="BD124" s="164">
        <v>587051.89</v>
      </c>
      <c r="BE124" s="164"/>
      <c r="BF124" s="240"/>
      <c r="BG124" s="164"/>
      <c r="BH124" s="556">
        <f>BG124-BF124</f>
        <v>0</v>
      </c>
      <c r="BI124" s="526"/>
      <c r="BJ124" s="202"/>
      <c r="BK124" s="202"/>
      <c r="BL124" s="501">
        <f>H124+BJ124+BK124</f>
        <v>4275026.55</v>
      </c>
      <c r="BM124" s="158"/>
      <c r="BN124" s="164"/>
      <c r="BO124" s="132"/>
      <c r="BQ124" s="230" t="str">
        <f>IF(BJ124&gt;0,BJ124,"")</f>
        <v/>
      </c>
    </row>
    <row r="125" spans="1:69" ht="24.75" customHeight="1" x14ac:dyDescent="0.2">
      <c r="A125" s="1164"/>
      <c r="B125" s="232" t="s">
        <v>219</v>
      </c>
      <c r="C125" s="242" t="s">
        <v>111</v>
      </c>
      <c r="D125" s="232" t="s">
        <v>12</v>
      </c>
      <c r="E125" s="232" t="s">
        <v>231</v>
      </c>
      <c r="F125" s="430" t="s">
        <v>14</v>
      </c>
      <c r="G125" s="242"/>
      <c r="H125" s="202">
        <v>14273.45</v>
      </c>
      <c r="I125" s="510">
        <f>L125+P125+T125+X125+AB125+AF125+AJ125+AN125+AR125+AV125+AZ125+BD125</f>
        <v>14273.45</v>
      </c>
      <c r="J125" s="557">
        <f>H125-I125</f>
        <v>0</v>
      </c>
      <c r="K125" s="558">
        <f>N125+R125+V125+Z125+AD125+AH125+AL125+AP125+AT125+AX125+BB125+BG125</f>
        <v>6052.54</v>
      </c>
      <c r="L125" s="164"/>
      <c r="M125" s="240"/>
      <c r="N125" s="164"/>
      <c r="O125" s="241"/>
      <c r="P125" s="164"/>
      <c r="Q125" s="554"/>
      <c r="R125" s="164"/>
      <c r="S125" s="241"/>
      <c r="T125" s="164">
        <v>6052.54</v>
      </c>
      <c r="U125" s="240">
        <v>6052.54</v>
      </c>
      <c r="V125" s="164">
        <v>6052.54</v>
      </c>
      <c r="W125" s="234">
        <f>V125-U125</f>
        <v>0</v>
      </c>
      <c r="X125" s="559"/>
      <c r="Y125" s="240"/>
      <c r="Z125" s="164"/>
      <c r="AA125" s="241">
        <f>Z125-Y125</f>
        <v>0</v>
      </c>
      <c r="AB125" s="164"/>
      <c r="AC125" s="240"/>
      <c r="AD125" s="164"/>
      <c r="AE125" s="234">
        <f>AD125-AC125</f>
        <v>0</v>
      </c>
      <c r="AF125" s="164"/>
      <c r="AG125" s="240"/>
      <c r="AH125" s="164"/>
      <c r="AI125" s="241">
        <f>AH125-AG125</f>
        <v>0</v>
      </c>
      <c r="AJ125" s="164"/>
      <c r="AK125" s="240"/>
      <c r="AL125" s="164"/>
      <c r="AM125" s="241">
        <f>AL125-AK125</f>
        <v>0</v>
      </c>
      <c r="AN125" s="164"/>
      <c r="AO125" s="240"/>
      <c r="AP125" s="164"/>
      <c r="AQ125" s="234">
        <f>AP125-AO125</f>
        <v>0</v>
      </c>
      <c r="AR125" s="164"/>
      <c r="AS125" s="240"/>
      <c r="AT125" s="164"/>
      <c r="AU125" s="241">
        <f>AT125-AS125</f>
        <v>0</v>
      </c>
      <c r="AV125" s="164"/>
      <c r="AW125" s="240"/>
      <c r="AX125" s="164"/>
      <c r="AY125" s="241">
        <f>AX125-AW125</f>
        <v>0</v>
      </c>
      <c r="AZ125" s="164">
        <v>8220.91</v>
      </c>
      <c r="BA125" s="240"/>
      <c r="BB125" s="164"/>
      <c r="BC125" s="556">
        <f>BB125-BA125</f>
        <v>0</v>
      </c>
      <c r="BD125" s="164"/>
      <c r="BE125" s="264"/>
      <c r="BF125" s="243"/>
      <c r="BG125" s="164"/>
      <c r="BH125" s="556">
        <f>BG125-BF125</f>
        <v>0</v>
      </c>
      <c r="BI125" s="526"/>
      <c r="BJ125" s="202"/>
      <c r="BK125" s="202"/>
      <c r="BL125" s="501">
        <f>H125+BJ125+BK125</f>
        <v>14273.45</v>
      </c>
      <c r="BM125" s="158"/>
      <c r="BN125" s="164"/>
      <c r="BO125" s="132"/>
      <c r="BQ125" s="230"/>
    </row>
    <row r="126" spans="1:69" ht="70.5" customHeight="1" x14ac:dyDescent="0.2">
      <c r="A126" s="1156" t="s">
        <v>298</v>
      </c>
      <c r="B126" s="232" t="s">
        <v>219</v>
      </c>
      <c r="C126" s="560" t="s">
        <v>112</v>
      </c>
      <c r="D126" s="232" t="s">
        <v>12</v>
      </c>
      <c r="E126" s="242" t="s">
        <v>221</v>
      </c>
      <c r="F126" s="430" t="s">
        <v>14</v>
      </c>
      <c r="G126" s="242"/>
      <c r="H126" s="202">
        <f>287421400-229332800</f>
        <v>58088600</v>
      </c>
      <c r="I126" s="510">
        <f>L126+P126+T126+X126+AB126+AF126+AJ126+AN126+AR126+AV126+AZ126+BD126</f>
        <v>58088600</v>
      </c>
      <c r="J126" s="557">
        <f t="shared" ref="J126:J130" si="97">H126-I126</f>
        <v>0</v>
      </c>
      <c r="K126" s="558">
        <f t="shared" ref="K126:K141" si="98">N126+R126+V126+Z126+AD126+AH126+AL126+AP126+AT126+AX126+BB126+BG126</f>
        <v>44895783.350000001</v>
      </c>
      <c r="L126" s="164"/>
      <c r="M126" s="240"/>
      <c r="N126" s="164"/>
      <c r="O126" s="241"/>
      <c r="P126" s="164"/>
      <c r="Q126" s="554"/>
      <c r="R126" s="164"/>
      <c r="S126" s="241"/>
      <c r="T126" s="164"/>
      <c r="U126" s="240"/>
      <c r="V126" s="164"/>
      <c r="W126" s="234"/>
      <c r="X126" s="559"/>
      <c r="Y126" s="240"/>
      <c r="Z126" s="164"/>
      <c r="AA126" s="241">
        <f>Z126-Y126</f>
        <v>0</v>
      </c>
      <c r="AB126" s="164"/>
      <c r="AC126" s="240"/>
      <c r="AD126" s="164"/>
      <c r="AE126" s="234">
        <f t="shared" ref="AE126:AE132" si="99">AD126-AC126</f>
        <v>0</v>
      </c>
      <c r="AF126" s="625">
        <v>44895783.350000001</v>
      </c>
      <c r="AG126" s="630">
        <v>44895783.350000001</v>
      </c>
      <c r="AH126" s="625">
        <v>44895783.350000001</v>
      </c>
      <c r="AI126" s="629">
        <f t="shared" ref="AI126:AI140" si="100">AH126-AG126</f>
        <v>0</v>
      </c>
      <c r="AJ126" s="164"/>
      <c r="AK126" s="240"/>
      <c r="AL126" s="164"/>
      <c r="AM126" s="241">
        <f t="shared" ref="AM126:AM141" si="101">AL126-AK126</f>
        <v>0</v>
      </c>
      <c r="AN126" s="202"/>
      <c r="AO126" s="240"/>
      <c r="AP126" s="164"/>
      <c r="AQ126" s="234">
        <f t="shared" ref="AQ126:AQ159" si="102">AP126-AO126</f>
        <v>0</v>
      </c>
      <c r="AR126" s="164"/>
      <c r="AS126" s="240"/>
      <c r="AT126" s="164"/>
      <c r="AU126" s="241">
        <f>AT126-AS126</f>
        <v>0</v>
      </c>
      <c r="AV126" s="164">
        <v>13192816.65</v>
      </c>
      <c r="AW126" s="240"/>
      <c r="AX126" s="164"/>
      <c r="AY126" s="241">
        <f t="shared" ref="AY126:AY140" si="103">AX126-AW126</f>
        <v>0</v>
      </c>
      <c r="AZ126" s="164"/>
      <c r="BA126" s="240"/>
      <c r="BB126" s="164"/>
      <c r="BC126" s="556">
        <f t="shared" ref="BC126:BC156" si="104">BB126-BA126</f>
        <v>0</v>
      </c>
      <c r="BD126" s="164"/>
      <c r="BE126" s="164"/>
      <c r="BF126" s="240"/>
      <c r="BG126" s="164"/>
      <c r="BH126" s="556">
        <f>BG126-BF126</f>
        <v>0</v>
      </c>
      <c r="BI126" s="251" t="s">
        <v>385</v>
      </c>
      <c r="BJ126" s="202"/>
      <c r="BK126" s="202"/>
      <c r="BL126" s="501">
        <f t="shared" ref="BL126:BL141" si="105">H126+BJ126+BK126</f>
        <v>58088600</v>
      </c>
      <c r="BM126" s="158"/>
      <c r="BN126" s="1080" t="s">
        <v>641</v>
      </c>
      <c r="BO126" s="132"/>
      <c r="BQ126" s="230" t="str">
        <f>IF(BJ126&gt;0,BJ126,"")</f>
        <v/>
      </c>
    </row>
    <row r="127" spans="1:69" ht="70.5" customHeight="1" x14ac:dyDescent="0.2">
      <c r="A127" s="1157"/>
      <c r="B127" s="232" t="s">
        <v>219</v>
      </c>
      <c r="C127" s="560" t="s">
        <v>112</v>
      </c>
      <c r="D127" s="232" t="s">
        <v>12</v>
      </c>
      <c r="E127" s="242" t="s">
        <v>231</v>
      </c>
      <c r="F127" s="430" t="s">
        <v>14</v>
      </c>
      <c r="G127" s="242"/>
      <c r="H127" s="202">
        <f>121880000-80667200-41212800</f>
        <v>0</v>
      </c>
      <c r="I127" s="510">
        <f>L127+P127+T127+X127+AB127+AF127+AJ127+AN127+AR127+AV127+AZ127+BD127</f>
        <v>0</v>
      </c>
      <c r="J127" s="557">
        <f t="shared" si="97"/>
        <v>0</v>
      </c>
      <c r="K127" s="558">
        <f t="shared" si="98"/>
        <v>0</v>
      </c>
      <c r="L127" s="164"/>
      <c r="M127" s="240"/>
      <c r="N127" s="164"/>
      <c r="O127" s="241"/>
      <c r="P127" s="164"/>
      <c r="Q127" s="554"/>
      <c r="R127" s="164"/>
      <c r="S127" s="241"/>
      <c r="T127" s="164"/>
      <c r="U127" s="240"/>
      <c r="V127" s="164"/>
      <c r="W127" s="234"/>
      <c r="X127" s="559"/>
      <c r="Y127" s="240"/>
      <c r="Z127" s="164"/>
      <c r="AA127" s="241">
        <f>Z127-Y127</f>
        <v>0</v>
      </c>
      <c r="AB127" s="164"/>
      <c r="AC127" s="240"/>
      <c r="AD127" s="164"/>
      <c r="AE127" s="234">
        <f t="shared" si="99"/>
        <v>0</v>
      </c>
      <c r="AF127" s="164"/>
      <c r="AG127" s="240"/>
      <c r="AH127" s="164"/>
      <c r="AI127" s="241">
        <f t="shared" si="100"/>
        <v>0</v>
      </c>
      <c r="AJ127" s="164"/>
      <c r="AK127" s="240"/>
      <c r="AL127" s="164"/>
      <c r="AM127" s="241">
        <f t="shared" si="101"/>
        <v>0</v>
      </c>
      <c r="AN127" s="202"/>
      <c r="AO127" s="240"/>
      <c r="AP127" s="164"/>
      <c r="AQ127" s="234">
        <f t="shared" si="102"/>
        <v>0</v>
      </c>
      <c r="AR127" s="164"/>
      <c r="AS127" s="240"/>
      <c r="AT127" s="164"/>
      <c r="AU127" s="241">
        <f>AT127-AS127</f>
        <v>0</v>
      </c>
      <c r="AV127" s="164"/>
      <c r="AW127" s="240"/>
      <c r="AX127" s="164"/>
      <c r="AY127" s="241">
        <f t="shared" si="103"/>
        <v>0</v>
      </c>
      <c r="AZ127" s="164"/>
      <c r="BA127" s="240"/>
      <c r="BB127" s="164"/>
      <c r="BC127" s="556">
        <f t="shared" si="104"/>
        <v>0</v>
      </c>
      <c r="BD127" s="164"/>
      <c r="BE127" s="164"/>
      <c r="BF127" s="240"/>
      <c r="BG127" s="164"/>
      <c r="BH127" s="234"/>
      <c r="BI127" s="251" t="s">
        <v>385</v>
      </c>
      <c r="BJ127" s="202"/>
      <c r="BK127" s="202"/>
      <c r="BL127" s="501">
        <f t="shared" si="105"/>
        <v>0</v>
      </c>
      <c r="BM127" s="158"/>
      <c r="BN127" s="1081"/>
      <c r="BO127" s="132"/>
      <c r="BQ127" s="230"/>
    </row>
    <row r="128" spans="1:69" ht="30" customHeight="1" x14ac:dyDescent="0.2">
      <c r="A128" s="1129" t="s">
        <v>235</v>
      </c>
      <c r="B128" s="232" t="s">
        <v>219</v>
      </c>
      <c r="C128" s="242" t="s">
        <v>114</v>
      </c>
      <c r="D128" s="232" t="s">
        <v>12</v>
      </c>
      <c r="E128" s="242" t="s">
        <v>221</v>
      </c>
      <c r="F128" s="430" t="s">
        <v>14</v>
      </c>
      <c r="G128" s="242"/>
      <c r="H128" s="202">
        <f>95296800+4.57+9513200</f>
        <v>104810004.56999999</v>
      </c>
      <c r="I128" s="510">
        <f t="shared" ref="I128:I140" si="106">L128+P128+T128+X128+AB128+AF128+AJ128+AN128+AR128+AV128+AZ128+BD128</f>
        <v>104810004.56999999</v>
      </c>
      <c r="J128" s="557">
        <f t="shared" si="97"/>
        <v>0</v>
      </c>
      <c r="K128" s="558">
        <f t="shared" si="98"/>
        <v>55302521.310000002</v>
      </c>
      <c r="L128" s="164"/>
      <c r="M128" s="240"/>
      <c r="N128" s="164"/>
      <c r="O128" s="241"/>
      <c r="P128" s="164"/>
      <c r="Q128" s="554"/>
      <c r="R128" s="164"/>
      <c r="S128" s="241"/>
      <c r="T128" s="164"/>
      <c r="U128" s="240"/>
      <c r="V128" s="164"/>
      <c r="W128" s="234">
        <f>V128-U128</f>
        <v>0</v>
      </c>
      <c r="X128" s="164"/>
      <c r="Y128" s="240"/>
      <c r="Z128" s="164"/>
      <c r="AA128" s="241">
        <f>Z128-Y128+W128</f>
        <v>0</v>
      </c>
      <c r="AB128" s="164">
        <f>47312142.77+1834905.91</f>
        <v>49147048.68</v>
      </c>
      <c r="AC128" s="240">
        <f>47312142.77+1834905.91</f>
        <v>49147048.68</v>
      </c>
      <c r="AD128" s="164">
        <v>49147048.68</v>
      </c>
      <c r="AE128" s="234">
        <f t="shared" si="99"/>
        <v>0</v>
      </c>
      <c r="AF128" s="164">
        <f>6700000-544527.37</f>
        <v>6155472.6299999999</v>
      </c>
      <c r="AG128" s="240">
        <f>6700000-544527.37</f>
        <v>6155472.6299999999</v>
      </c>
      <c r="AH128" s="968">
        <v>6155472.6299999999</v>
      </c>
      <c r="AI128" s="241">
        <f t="shared" si="100"/>
        <v>0</v>
      </c>
      <c r="AJ128" s="164">
        <v>6700000</v>
      </c>
      <c r="AK128" s="240">
        <v>6700000</v>
      </c>
      <c r="AL128" s="164"/>
      <c r="AM128" s="241">
        <f t="shared" si="101"/>
        <v>-6700000</v>
      </c>
      <c r="AN128" s="164">
        <v>6700000</v>
      </c>
      <c r="AO128" s="240"/>
      <c r="AP128" s="164"/>
      <c r="AQ128" s="234">
        <f t="shared" si="102"/>
        <v>0</v>
      </c>
      <c r="AR128" s="164">
        <v>6700000</v>
      </c>
      <c r="AS128" s="240"/>
      <c r="AT128" s="164"/>
      <c r="AU128" s="241">
        <f>AT128-AS128</f>
        <v>0</v>
      </c>
      <c r="AV128" s="164">
        <v>13596804.57</v>
      </c>
      <c r="AW128" s="240"/>
      <c r="AX128" s="164"/>
      <c r="AY128" s="241">
        <f t="shared" si="103"/>
        <v>0</v>
      </c>
      <c r="AZ128" s="164"/>
      <c r="BA128" s="240"/>
      <c r="BB128" s="164"/>
      <c r="BC128" s="556">
        <f t="shared" si="104"/>
        <v>0</v>
      </c>
      <c r="BD128" s="164">
        <v>15810678.689999999</v>
      </c>
      <c r="BE128" s="529"/>
      <c r="BF128" s="240"/>
      <c r="BG128" s="164"/>
      <c r="BH128" s="234">
        <f t="shared" ref="BH128:BH133" si="107">BG128-BF128</f>
        <v>0</v>
      </c>
      <c r="BI128" s="526"/>
      <c r="BJ128" s="202"/>
      <c r="BK128" s="202"/>
      <c r="BL128" s="501">
        <f t="shared" si="105"/>
        <v>104810004.56999999</v>
      </c>
      <c r="BM128" s="158"/>
      <c r="BN128" s="1080" t="s">
        <v>582</v>
      </c>
      <c r="BO128" s="132"/>
      <c r="BQ128" s="230" t="str">
        <f>IF(BJ128&gt;0,BJ128,"")</f>
        <v/>
      </c>
    </row>
    <row r="129" spans="1:69" ht="30" customHeight="1" x14ac:dyDescent="0.2">
      <c r="A129" s="1131"/>
      <c r="B129" s="232" t="s">
        <v>219</v>
      </c>
      <c r="C129" s="242" t="s">
        <v>114</v>
      </c>
      <c r="D129" s="232" t="s">
        <v>12</v>
      </c>
      <c r="E129" s="242" t="s">
        <v>231</v>
      </c>
      <c r="F129" s="430" t="s">
        <v>14</v>
      </c>
      <c r="G129" s="242"/>
      <c r="H129" s="202">
        <v>590000</v>
      </c>
      <c r="I129" s="510">
        <f t="shared" si="106"/>
        <v>590000</v>
      </c>
      <c r="J129" s="557">
        <f t="shared" si="97"/>
        <v>0</v>
      </c>
      <c r="K129" s="558">
        <f t="shared" si="98"/>
        <v>207540.04</v>
      </c>
      <c r="L129" s="164"/>
      <c r="M129" s="240"/>
      <c r="N129" s="164"/>
      <c r="O129" s="241"/>
      <c r="P129" s="164"/>
      <c r="Q129" s="554"/>
      <c r="R129" s="164"/>
      <c r="S129" s="241"/>
      <c r="T129" s="164"/>
      <c r="U129" s="240"/>
      <c r="V129" s="164"/>
      <c r="W129" s="234">
        <f>V129-U129</f>
        <v>0</v>
      </c>
      <c r="X129" s="164"/>
      <c r="Y129" s="240"/>
      <c r="Z129" s="164"/>
      <c r="AA129" s="241">
        <f>Z129-Y129</f>
        <v>0</v>
      </c>
      <c r="AB129" s="164">
        <f>182586.03-0.02</f>
        <v>182586.01</v>
      </c>
      <c r="AC129" s="240">
        <f>182586.03-0.02</f>
        <v>182586.01</v>
      </c>
      <c r="AD129" s="164">
        <v>182586.01</v>
      </c>
      <c r="AE129" s="234">
        <f t="shared" si="99"/>
        <v>0</v>
      </c>
      <c r="AF129" s="164">
        <v>24954.03</v>
      </c>
      <c r="AG129" s="240">
        <v>24954.03</v>
      </c>
      <c r="AH129" s="968">
        <v>24954.03</v>
      </c>
      <c r="AI129" s="241">
        <f t="shared" si="100"/>
        <v>0</v>
      </c>
      <c r="AJ129" s="164">
        <v>25785.83</v>
      </c>
      <c r="AK129" s="240">
        <v>25785.83</v>
      </c>
      <c r="AL129" s="164"/>
      <c r="AM129" s="241">
        <f t="shared" si="101"/>
        <v>-25785.83</v>
      </c>
      <c r="AN129" s="164">
        <v>45000</v>
      </c>
      <c r="AO129" s="240"/>
      <c r="AP129" s="164"/>
      <c r="AQ129" s="234">
        <f t="shared" si="102"/>
        <v>0</v>
      </c>
      <c r="AR129" s="164">
        <v>27000</v>
      </c>
      <c r="AS129" s="240"/>
      <c r="AT129" s="164"/>
      <c r="AU129" s="241">
        <f t="shared" ref="AU129:AU140" si="108">AT129-AS129</f>
        <v>0</v>
      </c>
      <c r="AV129" s="164">
        <v>95000</v>
      </c>
      <c r="AW129" s="240"/>
      <c r="AX129" s="164"/>
      <c r="AY129" s="241">
        <f t="shared" si="103"/>
        <v>0</v>
      </c>
      <c r="AZ129" s="164"/>
      <c r="BA129" s="240"/>
      <c r="BB129" s="164"/>
      <c r="BC129" s="556">
        <f t="shared" si="104"/>
        <v>0</v>
      </c>
      <c r="BD129" s="164">
        <v>189674.13</v>
      </c>
      <c r="BE129" s="164"/>
      <c r="BF129" s="240"/>
      <c r="BG129" s="164"/>
      <c r="BH129" s="234">
        <f t="shared" si="107"/>
        <v>0</v>
      </c>
      <c r="BI129" s="526"/>
      <c r="BJ129" s="202"/>
      <c r="BK129" s="202"/>
      <c r="BL129" s="501">
        <f t="shared" si="105"/>
        <v>590000</v>
      </c>
      <c r="BM129" s="158"/>
      <c r="BN129" s="1081"/>
      <c r="BO129" s="132"/>
      <c r="BQ129" s="230"/>
    </row>
    <row r="130" spans="1:69" ht="150" customHeight="1" x14ac:dyDescent="0.2">
      <c r="A130" s="485" t="s">
        <v>115</v>
      </c>
      <c r="B130" s="23" t="s">
        <v>219</v>
      </c>
      <c r="C130" s="642" t="s">
        <v>116</v>
      </c>
      <c r="D130" s="23" t="s">
        <v>12</v>
      </c>
      <c r="E130" s="22" t="s">
        <v>221</v>
      </c>
      <c r="F130" s="643" t="s">
        <v>14</v>
      </c>
      <c r="G130" s="242"/>
      <c r="H130" s="25">
        <v>440100</v>
      </c>
      <c r="I130" s="635">
        <f t="shared" si="106"/>
        <v>440100</v>
      </c>
      <c r="J130" s="636">
        <f t="shared" si="97"/>
        <v>0</v>
      </c>
      <c r="K130" s="625">
        <f t="shared" si="98"/>
        <v>269655.71000000002</v>
      </c>
      <c r="L130" s="627"/>
      <c r="M130" s="628"/>
      <c r="N130" s="627"/>
      <c r="O130" s="629"/>
      <c r="P130" s="627"/>
      <c r="Q130" s="630"/>
      <c r="R130" s="627"/>
      <c r="S130" s="629">
        <f>R130-Q130</f>
        <v>0</v>
      </c>
      <c r="T130" s="627">
        <v>150745.21</v>
      </c>
      <c r="U130" s="628">
        <v>150745.21</v>
      </c>
      <c r="V130" s="627">
        <v>150745.21</v>
      </c>
      <c r="W130" s="632">
        <f>V130-U130</f>
        <v>0</v>
      </c>
      <c r="X130" s="627">
        <v>40323.29</v>
      </c>
      <c r="Y130" s="628">
        <v>40323.29</v>
      </c>
      <c r="Z130" s="627">
        <v>40323.29</v>
      </c>
      <c r="AA130" s="629">
        <f>Z130-Y130</f>
        <v>0</v>
      </c>
      <c r="AB130" s="627">
        <v>41518.720000000001</v>
      </c>
      <c r="AC130" s="628">
        <v>41518.720000000001</v>
      </c>
      <c r="AD130" s="627">
        <v>41518.720000000001</v>
      </c>
      <c r="AE130" s="632">
        <f t="shared" si="99"/>
        <v>0</v>
      </c>
      <c r="AF130" s="627">
        <v>37068.49</v>
      </c>
      <c r="AG130" s="628">
        <v>37068.49</v>
      </c>
      <c r="AH130" s="627">
        <v>37068.49</v>
      </c>
      <c r="AI130" s="629">
        <f t="shared" si="100"/>
        <v>0</v>
      </c>
      <c r="AJ130" s="627">
        <v>35189.949999999997</v>
      </c>
      <c r="AK130" s="628">
        <v>35189.949999999997</v>
      </c>
      <c r="AL130" s="627"/>
      <c r="AM130" s="629">
        <f t="shared" si="101"/>
        <v>-35189.949999999997</v>
      </c>
      <c r="AN130" s="627">
        <v>31041.1</v>
      </c>
      <c r="AO130" s="628">
        <v>31041.1</v>
      </c>
      <c r="AP130" s="627"/>
      <c r="AQ130" s="632">
        <f t="shared" si="102"/>
        <v>-31041.1</v>
      </c>
      <c r="AR130" s="627">
        <v>28901.64</v>
      </c>
      <c r="AS130" s="628"/>
      <c r="AT130" s="627"/>
      <c r="AU130" s="629">
        <f t="shared" si="108"/>
        <v>0</v>
      </c>
      <c r="AV130" s="627">
        <v>27217.72</v>
      </c>
      <c r="AW130" s="628"/>
      <c r="AX130" s="627"/>
      <c r="AY130" s="629">
        <f t="shared" si="103"/>
        <v>0</v>
      </c>
      <c r="AZ130" s="627">
        <v>24652.06</v>
      </c>
      <c r="BA130" s="628"/>
      <c r="BB130" s="627"/>
      <c r="BC130" s="633">
        <f t="shared" si="104"/>
        <v>0</v>
      </c>
      <c r="BD130" s="627">
        <v>23441.82</v>
      </c>
      <c r="BE130" s="627"/>
      <c r="BF130" s="240"/>
      <c r="BG130" s="164"/>
      <c r="BH130" s="234">
        <f t="shared" si="107"/>
        <v>0</v>
      </c>
      <c r="BI130" s="526"/>
      <c r="BJ130" s="531"/>
      <c r="BK130" s="202"/>
      <c r="BL130" s="501">
        <f t="shared" si="105"/>
        <v>440100</v>
      </c>
      <c r="BM130" s="158"/>
      <c r="BN130" s="164"/>
      <c r="BO130" s="132"/>
      <c r="BQ130" s="230" t="str">
        <f>IF(BJ130&gt;0,BJ130,"")</f>
        <v/>
      </c>
    </row>
    <row r="131" spans="1:69" ht="28.5" customHeight="1" x14ac:dyDescent="0.2">
      <c r="A131" s="1117" t="s">
        <v>117</v>
      </c>
      <c r="B131" s="232" t="s">
        <v>219</v>
      </c>
      <c r="C131" s="561" t="s">
        <v>118</v>
      </c>
      <c r="D131" s="232" t="s">
        <v>12</v>
      </c>
      <c r="E131" s="242" t="s">
        <v>221</v>
      </c>
      <c r="F131" s="430" t="s">
        <v>14</v>
      </c>
      <c r="G131" s="242"/>
      <c r="H131" s="25">
        <f>1611155.61+49991.55</f>
        <v>1661147.1600000001</v>
      </c>
      <c r="I131" s="635">
        <f t="shared" si="106"/>
        <v>1661147.16</v>
      </c>
      <c r="J131" s="625">
        <f t="shared" ref="J131:J136" si="109">H131-I131</f>
        <v>0</v>
      </c>
      <c r="K131" s="625">
        <f t="shared" si="98"/>
        <v>1661147.16</v>
      </c>
      <c r="L131" s="627"/>
      <c r="M131" s="628"/>
      <c r="N131" s="627"/>
      <c r="O131" s="629"/>
      <c r="P131" s="627"/>
      <c r="Q131" s="630"/>
      <c r="R131" s="627"/>
      <c r="S131" s="629"/>
      <c r="T131" s="627">
        <v>1661147.16</v>
      </c>
      <c r="U131" s="628">
        <v>1661147.16</v>
      </c>
      <c r="V131" s="627">
        <v>1661147.16</v>
      </c>
      <c r="W131" s="632">
        <f t="shared" ref="W131:W140" si="110">V131-U131</f>
        <v>0</v>
      </c>
      <c r="X131" s="631"/>
      <c r="Y131" s="628"/>
      <c r="Z131" s="627"/>
      <c r="AA131" s="629">
        <f t="shared" ref="AA131:AA140" si="111">Z131-Y131</f>
        <v>0</v>
      </c>
      <c r="AB131" s="627"/>
      <c r="AC131" s="628"/>
      <c r="AD131" s="627"/>
      <c r="AE131" s="632">
        <f t="shared" si="99"/>
        <v>0</v>
      </c>
      <c r="AF131" s="627"/>
      <c r="AG131" s="628"/>
      <c r="AH131" s="627"/>
      <c r="AI131" s="629">
        <f t="shared" si="100"/>
        <v>0</v>
      </c>
      <c r="AJ131" s="627"/>
      <c r="AK131" s="628"/>
      <c r="AL131" s="627"/>
      <c r="AM131" s="629">
        <f t="shared" si="101"/>
        <v>0</v>
      </c>
      <c r="AN131" s="627"/>
      <c r="AO131" s="628"/>
      <c r="AP131" s="627"/>
      <c r="AQ131" s="632">
        <f t="shared" si="102"/>
        <v>0</v>
      </c>
      <c r="AR131" s="627"/>
      <c r="AS131" s="628"/>
      <c r="AT131" s="627"/>
      <c r="AU131" s="629">
        <f t="shared" si="108"/>
        <v>0</v>
      </c>
      <c r="AV131" s="627"/>
      <c r="AW131" s="628"/>
      <c r="AX131" s="627"/>
      <c r="AY131" s="629">
        <f t="shared" si="103"/>
        <v>0</v>
      </c>
      <c r="AZ131" s="627"/>
      <c r="BA131" s="628"/>
      <c r="BB131" s="627"/>
      <c r="BC131" s="633">
        <f t="shared" si="104"/>
        <v>0</v>
      </c>
      <c r="BD131" s="627"/>
      <c r="BE131" s="627"/>
      <c r="BF131" s="240"/>
      <c r="BG131" s="164"/>
      <c r="BH131" s="234">
        <f t="shared" si="107"/>
        <v>0</v>
      </c>
      <c r="BI131" s="526"/>
      <c r="BJ131" s="202"/>
      <c r="BK131" s="202"/>
      <c r="BL131" s="501">
        <f t="shared" si="105"/>
        <v>1661147.1600000001</v>
      </c>
      <c r="BM131" s="158"/>
      <c r="BN131" s="164"/>
      <c r="BO131" s="132"/>
      <c r="BQ131" s="230" t="str">
        <f>IF(BJ131&gt;0,BJ131,"")</f>
        <v/>
      </c>
    </row>
    <row r="132" spans="1:69" ht="28.5" customHeight="1" x14ac:dyDescent="0.2">
      <c r="A132" s="1119"/>
      <c r="B132" s="232" t="s">
        <v>219</v>
      </c>
      <c r="C132" s="561" t="s">
        <v>118</v>
      </c>
      <c r="D132" s="232" t="s">
        <v>12</v>
      </c>
      <c r="E132" s="242" t="s">
        <v>231</v>
      </c>
      <c r="F132" s="430" t="s">
        <v>14</v>
      </c>
      <c r="G132" s="242"/>
      <c r="H132" s="25">
        <f>50844.39-49991.55</f>
        <v>852.83999999999651</v>
      </c>
      <c r="I132" s="635">
        <f t="shared" si="106"/>
        <v>852.84</v>
      </c>
      <c r="J132" s="625">
        <f>H132-I132</f>
        <v>-3.5242919693700969E-12</v>
      </c>
      <c r="K132" s="625">
        <f t="shared" si="98"/>
        <v>852.84</v>
      </c>
      <c r="L132" s="627"/>
      <c r="M132" s="628"/>
      <c r="N132" s="627"/>
      <c r="O132" s="629"/>
      <c r="P132" s="627"/>
      <c r="Q132" s="630"/>
      <c r="R132" s="627"/>
      <c r="S132" s="629"/>
      <c r="T132" s="627">
        <v>852.84</v>
      </c>
      <c r="U132" s="628">
        <v>852.84</v>
      </c>
      <c r="V132" s="627">
        <v>852.84</v>
      </c>
      <c r="W132" s="632">
        <f t="shared" si="110"/>
        <v>0</v>
      </c>
      <c r="X132" s="631"/>
      <c r="Y132" s="628"/>
      <c r="Z132" s="627"/>
      <c r="AA132" s="629">
        <f t="shared" si="111"/>
        <v>0</v>
      </c>
      <c r="AB132" s="627"/>
      <c r="AC132" s="628"/>
      <c r="AD132" s="627"/>
      <c r="AE132" s="632">
        <f t="shared" si="99"/>
        <v>0</v>
      </c>
      <c r="AF132" s="627"/>
      <c r="AG132" s="628"/>
      <c r="AH132" s="627"/>
      <c r="AI132" s="629">
        <f t="shared" si="100"/>
        <v>0</v>
      </c>
      <c r="AJ132" s="627"/>
      <c r="AK132" s="628"/>
      <c r="AL132" s="627"/>
      <c r="AM132" s="629">
        <f t="shared" si="101"/>
        <v>0</v>
      </c>
      <c r="AN132" s="627"/>
      <c r="AO132" s="628"/>
      <c r="AP132" s="627"/>
      <c r="AQ132" s="632">
        <f t="shared" si="102"/>
        <v>0</v>
      </c>
      <c r="AR132" s="627"/>
      <c r="AS132" s="628"/>
      <c r="AT132" s="627"/>
      <c r="AU132" s="629">
        <f t="shared" si="108"/>
        <v>0</v>
      </c>
      <c r="AV132" s="627"/>
      <c r="AW132" s="628"/>
      <c r="AX132" s="627"/>
      <c r="AY132" s="629">
        <f t="shared" si="103"/>
        <v>0</v>
      </c>
      <c r="AZ132" s="627"/>
      <c r="BA132" s="628"/>
      <c r="BB132" s="627"/>
      <c r="BC132" s="633">
        <f t="shared" si="104"/>
        <v>0</v>
      </c>
      <c r="BD132" s="627"/>
      <c r="BE132" s="627"/>
      <c r="BF132" s="240"/>
      <c r="BG132" s="164"/>
      <c r="BH132" s="234">
        <f t="shared" si="107"/>
        <v>0</v>
      </c>
      <c r="BI132" s="526"/>
      <c r="BJ132" s="202"/>
      <c r="BK132" s="202"/>
      <c r="BL132" s="501">
        <f t="shared" si="105"/>
        <v>852.83999999999651</v>
      </c>
      <c r="BM132" s="158"/>
      <c r="BN132" s="164"/>
      <c r="BO132" s="132"/>
      <c r="BQ132" s="230"/>
    </row>
    <row r="133" spans="1:69" ht="49.5" customHeight="1" x14ac:dyDescent="0.2">
      <c r="A133" s="741" t="s">
        <v>343</v>
      </c>
      <c r="B133" s="232" t="s">
        <v>219</v>
      </c>
      <c r="C133" s="561" t="s">
        <v>119</v>
      </c>
      <c r="D133" s="232" t="s">
        <v>331</v>
      </c>
      <c r="E133" s="242" t="s">
        <v>231</v>
      </c>
      <c r="F133" s="430" t="s">
        <v>14</v>
      </c>
      <c r="G133" s="242"/>
      <c r="H133" s="25">
        <v>59940000</v>
      </c>
      <c r="I133" s="635">
        <f t="shared" si="106"/>
        <v>59940000</v>
      </c>
      <c r="J133" s="625">
        <f t="shared" si="109"/>
        <v>0</v>
      </c>
      <c r="K133" s="625">
        <f t="shared" si="98"/>
        <v>0</v>
      </c>
      <c r="L133" s="627"/>
      <c r="M133" s="628"/>
      <c r="N133" s="627"/>
      <c r="O133" s="629"/>
      <c r="P133" s="627"/>
      <c r="Q133" s="630"/>
      <c r="R133" s="627"/>
      <c r="S133" s="629"/>
      <c r="T133" s="627"/>
      <c r="U133" s="628"/>
      <c r="V133" s="627"/>
      <c r="W133" s="632">
        <f t="shared" si="110"/>
        <v>0</v>
      </c>
      <c r="X133" s="631"/>
      <c r="Y133" s="628"/>
      <c r="Z133" s="627"/>
      <c r="AA133" s="629">
        <f t="shared" si="111"/>
        <v>0</v>
      </c>
      <c r="AB133" s="627"/>
      <c r="AC133" s="628"/>
      <c r="AD133" s="627"/>
      <c r="AE133" s="629">
        <f t="shared" ref="AE133:AE140" si="112">AD133-AC133</f>
        <v>0</v>
      </c>
      <c r="AF133" s="627"/>
      <c r="AG133" s="628"/>
      <c r="AH133" s="627"/>
      <c r="AI133" s="629">
        <f t="shared" si="100"/>
        <v>0</v>
      </c>
      <c r="AJ133" s="627"/>
      <c r="AK133" s="628"/>
      <c r="AL133" s="627"/>
      <c r="AM133" s="629">
        <f t="shared" si="101"/>
        <v>0</v>
      </c>
      <c r="AN133" s="627"/>
      <c r="AO133" s="628"/>
      <c r="AP133" s="627"/>
      <c r="AQ133" s="632">
        <f t="shared" si="102"/>
        <v>0</v>
      </c>
      <c r="AR133" s="627"/>
      <c r="AS133" s="628"/>
      <c r="AT133" s="627"/>
      <c r="AU133" s="629">
        <f t="shared" si="108"/>
        <v>0</v>
      </c>
      <c r="AV133" s="627">
        <v>59940000</v>
      </c>
      <c r="AW133" s="628"/>
      <c r="AX133" s="627"/>
      <c r="AY133" s="629">
        <f t="shared" si="103"/>
        <v>0</v>
      </c>
      <c r="AZ133" s="627"/>
      <c r="BA133" s="628"/>
      <c r="BB133" s="627"/>
      <c r="BC133" s="633">
        <f t="shared" si="104"/>
        <v>0</v>
      </c>
      <c r="BD133" s="627"/>
      <c r="BE133" s="627"/>
      <c r="BF133" s="240"/>
      <c r="BG133" s="164"/>
      <c r="BH133" s="234">
        <f t="shared" si="107"/>
        <v>0</v>
      </c>
      <c r="BI133" s="251" t="s">
        <v>385</v>
      </c>
      <c r="BJ133" s="202"/>
      <c r="BK133" s="202"/>
      <c r="BL133" s="501">
        <f t="shared" si="105"/>
        <v>59940000</v>
      </c>
      <c r="BM133" s="158"/>
      <c r="BN133" s="783"/>
      <c r="BO133" s="132"/>
      <c r="BQ133" s="230" t="str">
        <f>IF(BJ133&gt;0,BJ133,"")</f>
        <v/>
      </c>
    </row>
    <row r="134" spans="1:69" ht="38.25" customHeight="1" x14ac:dyDescent="0.2">
      <c r="A134" s="1109" t="s">
        <v>295</v>
      </c>
      <c r="B134" s="232" t="s">
        <v>219</v>
      </c>
      <c r="C134" s="561" t="s">
        <v>315</v>
      </c>
      <c r="D134" s="232" t="s">
        <v>12</v>
      </c>
      <c r="E134" s="242" t="s">
        <v>221</v>
      </c>
      <c r="F134" s="430" t="s">
        <v>14</v>
      </c>
      <c r="G134" s="242"/>
      <c r="H134" s="25">
        <v>20300000</v>
      </c>
      <c r="I134" s="635">
        <f t="shared" si="106"/>
        <v>20300000</v>
      </c>
      <c r="J134" s="625">
        <f>H134-I134</f>
        <v>0</v>
      </c>
      <c r="K134" s="625">
        <f t="shared" si="98"/>
        <v>0</v>
      </c>
      <c r="L134" s="627"/>
      <c r="M134" s="628"/>
      <c r="N134" s="627"/>
      <c r="O134" s="629"/>
      <c r="P134" s="627"/>
      <c r="Q134" s="630"/>
      <c r="R134" s="627"/>
      <c r="S134" s="629"/>
      <c r="T134" s="627"/>
      <c r="U134" s="628"/>
      <c r="V134" s="627"/>
      <c r="W134" s="632"/>
      <c r="X134" s="631"/>
      <c r="Y134" s="628"/>
      <c r="Z134" s="627"/>
      <c r="AA134" s="629">
        <f t="shared" si="111"/>
        <v>0</v>
      </c>
      <c r="AB134" s="627"/>
      <c r="AC134" s="628"/>
      <c r="AD134" s="627"/>
      <c r="AE134" s="629">
        <f t="shared" si="112"/>
        <v>0</v>
      </c>
      <c r="AF134" s="627"/>
      <c r="AG134" s="628"/>
      <c r="AH134" s="627"/>
      <c r="AI134" s="629">
        <f t="shared" si="100"/>
        <v>0</v>
      </c>
      <c r="AJ134" s="627"/>
      <c r="AK134" s="628"/>
      <c r="AL134" s="627"/>
      <c r="AM134" s="629">
        <f t="shared" si="101"/>
        <v>0</v>
      </c>
      <c r="AN134" s="25"/>
      <c r="AO134" s="628"/>
      <c r="AP134" s="627"/>
      <c r="AQ134" s="632">
        <f t="shared" si="102"/>
        <v>0</v>
      </c>
      <c r="AR134" s="627"/>
      <c r="AS134" s="628"/>
      <c r="AT134" s="627"/>
      <c r="AU134" s="629">
        <f t="shared" si="108"/>
        <v>0</v>
      </c>
      <c r="AV134" s="627"/>
      <c r="AW134" s="628"/>
      <c r="AX134" s="627"/>
      <c r="AY134" s="629">
        <f t="shared" si="103"/>
        <v>0</v>
      </c>
      <c r="AZ134" s="627">
        <v>15300000</v>
      </c>
      <c r="BA134" s="628"/>
      <c r="BB134" s="627"/>
      <c r="BC134" s="633">
        <f t="shared" si="104"/>
        <v>0</v>
      </c>
      <c r="BD134" s="627">
        <v>5000000</v>
      </c>
      <c r="BE134" s="627"/>
      <c r="BF134" s="240"/>
      <c r="BG134" s="164"/>
      <c r="BH134" s="556">
        <f t="shared" ref="BH134:BH141" si="113">BG134-BF134</f>
        <v>0</v>
      </c>
      <c r="BI134" s="526"/>
      <c r="BJ134" s="202"/>
      <c r="BK134" s="202"/>
      <c r="BL134" s="501">
        <f t="shared" si="105"/>
        <v>20300000</v>
      </c>
      <c r="BM134" s="158"/>
      <c r="BN134" s="1176" t="s">
        <v>622</v>
      </c>
      <c r="BO134" s="132"/>
      <c r="BQ134" s="230"/>
    </row>
    <row r="135" spans="1:69" ht="27" customHeight="1" x14ac:dyDescent="0.2">
      <c r="A135" s="1150"/>
      <c r="B135" s="232" t="s">
        <v>219</v>
      </c>
      <c r="C135" s="561" t="s">
        <v>315</v>
      </c>
      <c r="D135" s="232" t="s">
        <v>222</v>
      </c>
      <c r="E135" s="242" t="s">
        <v>221</v>
      </c>
      <c r="F135" s="430" t="s">
        <v>14</v>
      </c>
      <c r="G135" s="242"/>
      <c r="H135" s="25">
        <v>14700000</v>
      </c>
      <c r="I135" s="635">
        <f t="shared" si="106"/>
        <v>14700000</v>
      </c>
      <c r="J135" s="625">
        <f>H135-I135</f>
        <v>0</v>
      </c>
      <c r="K135" s="625">
        <f t="shared" si="98"/>
        <v>4719372.9000000004</v>
      </c>
      <c r="L135" s="627"/>
      <c r="M135" s="628"/>
      <c r="N135" s="627"/>
      <c r="O135" s="629"/>
      <c r="P135" s="627"/>
      <c r="Q135" s="630"/>
      <c r="R135" s="627"/>
      <c r="S135" s="629"/>
      <c r="T135" s="627"/>
      <c r="U135" s="628"/>
      <c r="V135" s="627"/>
      <c r="W135" s="632"/>
      <c r="X135" s="631"/>
      <c r="Y135" s="628"/>
      <c r="Z135" s="627"/>
      <c r="AA135" s="629">
        <f t="shared" si="111"/>
        <v>0</v>
      </c>
      <c r="AB135" s="627">
        <f>2387502.72+2331870.18</f>
        <v>4719372.9000000004</v>
      </c>
      <c r="AC135" s="628">
        <f>2387502.72+2331870.18</f>
        <v>4719372.9000000004</v>
      </c>
      <c r="AD135" s="627">
        <v>4719372.9000000004</v>
      </c>
      <c r="AE135" s="629">
        <f t="shared" si="112"/>
        <v>0</v>
      </c>
      <c r="AF135" s="627"/>
      <c r="AG135" s="628"/>
      <c r="AH135" s="627"/>
      <c r="AI135" s="629">
        <f t="shared" si="100"/>
        <v>0</v>
      </c>
      <c r="AJ135" s="627"/>
      <c r="AK135" s="628"/>
      <c r="AL135" s="627"/>
      <c r="AM135" s="629">
        <f t="shared" si="101"/>
        <v>0</v>
      </c>
      <c r="AN135" s="25"/>
      <c r="AO135" s="628"/>
      <c r="AP135" s="627"/>
      <c r="AQ135" s="632">
        <f t="shared" si="102"/>
        <v>0</v>
      </c>
      <c r="AR135" s="627"/>
      <c r="AS135" s="628"/>
      <c r="AT135" s="627"/>
      <c r="AU135" s="629">
        <f t="shared" si="108"/>
        <v>0</v>
      </c>
      <c r="AV135" s="627"/>
      <c r="AW135" s="628"/>
      <c r="AX135" s="627"/>
      <c r="AY135" s="629">
        <f t="shared" si="103"/>
        <v>0</v>
      </c>
      <c r="AZ135" s="627">
        <v>4400000</v>
      </c>
      <c r="BA135" s="628"/>
      <c r="BB135" s="627"/>
      <c r="BC135" s="633">
        <f t="shared" si="104"/>
        <v>0</v>
      </c>
      <c r="BD135" s="627">
        <v>5580627.0999999996</v>
      </c>
      <c r="BE135" s="627"/>
      <c r="BF135" s="240"/>
      <c r="BG135" s="164"/>
      <c r="BH135" s="556">
        <f t="shared" si="113"/>
        <v>0</v>
      </c>
      <c r="BI135" s="526"/>
      <c r="BJ135" s="202"/>
      <c r="BK135" s="202"/>
      <c r="BL135" s="501">
        <f t="shared" si="105"/>
        <v>14700000</v>
      </c>
      <c r="BM135" s="158"/>
      <c r="BN135" s="1177"/>
      <c r="BO135" s="132"/>
      <c r="BQ135" s="230"/>
    </row>
    <row r="136" spans="1:69" ht="24" customHeight="1" x14ac:dyDescent="0.2">
      <c r="A136" s="1147" t="s">
        <v>120</v>
      </c>
      <c r="B136" s="232" t="s">
        <v>219</v>
      </c>
      <c r="C136" s="561" t="s">
        <v>38</v>
      </c>
      <c r="D136" s="232" t="s">
        <v>12</v>
      </c>
      <c r="E136" s="242" t="s">
        <v>221</v>
      </c>
      <c r="F136" s="430" t="s">
        <v>14</v>
      </c>
      <c r="G136" s="242" t="s">
        <v>452</v>
      </c>
      <c r="H136" s="25">
        <f>2404649.94+39199.26</f>
        <v>2443849.1999999997</v>
      </c>
      <c r="I136" s="635">
        <f t="shared" si="106"/>
        <v>2443849.2000000002</v>
      </c>
      <c r="J136" s="625">
        <f t="shared" si="109"/>
        <v>0</v>
      </c>
      <c r="K136" s="625">
        <f t="shared" si="98"/>
        <v>2403408.81</v>
      </c>
      <c r="L136" s="627"/>
      <c r="M136" s="628"/>
      <c r="N136" s="627"/>
      <c r="O136" s="629"/>
      <c r="P136" s="627"/>
      <c r="Q136" s="630"/>
      <c r="R136" s="627"/>
      <c r="S136" s="629"/>
      <c r="T136" s="627">
        <v>2232501.67</v>
      </c>
      <c r="U136" s="628">
        <v>2232501.67</v>
      </c>
      <c r="V136" s="627">
        <v>2232501.67</v>
      </c>
      <c r="W136" s="632">
        <f t="shared" si="110"/>
        <v>0</v>
      </c>
      <c r="X136" s="627">
        <v>106271.47</v>
      </c>
      <c r="Y136" s="628">
        <v>106271.47</v>
      </c>
      <c r="Z136" s="627">
        <v>106271.47</v>
      </c>
      <c r="AA136" s="629">
        <f t="shared" si="111"/>
        <v>0</v>
      </c>
      <c r="AB136" s="627">
        <v>34660.94</v>
      </c>
      <c r="AC136" s="628">
        <v>34660.94</v>
      </c>
      <c r="AD136" s="627">
        <v>34660.94</v>
      </c>
      <c r="AE136" s="629">
        <f t="shared" si="112"/>
        <v>0</v>
      </c>
      <c r="AF136" s="627">
        <f>29642.31+332.42</f>
        <v>29974.73</v>
      </c>
      <c r="AG136" s="628">
        <f>29642.31+332.42</f>
        <v>29974.73</v>
      </c>
      <c r="AH136" s="627">
        <v>29974.73</v>
      </c>
      <c r="AI136" s="629">
        <f t="shared" si="100"/>
        <v>0</v>
      </c>
      <c r="AJ136" s="627">
        <v>28369.1</v>
      </c>
      <c r="AK136" s="628">
        <v>28369.1</v>
      </c>
      <c r="AL136" s="627"/>
      <c r="AM136" s="629">
        <f t="shared" si="101"/>
        <v>-28369.1</v>
      </c>
      <c r="AN136" s="627">
        <v>12071.29</v>
      </c>
      <c r="AO136" s="628">
        <v>12071.29</v>
      </c>
      <c r="AP136" s="627"/>
      <c r="AQ136" s="632">
        <f t="shared" si="102"/>
        <v>-12071.29</v>
      </c>
      <c r="AR136" s="627"/>
      <c r="AS136" s="628"/>
      <c r="AT136" s="627"/>
      <c r="AU136" s="629">
        <f t="shared" si="108"/>
        <v>0</v>
      </c>
      <c r="AV136" s="627"/>
      <c r="AW136" s="628"/>
      <c r="AX136" s="627"/>
      <c r="AY136" s="629">
        <f t="shared" si="103"/>
        <v>0</v>
      </c>
      <c r="AZ136" s="627"/>
      <c r="BA136" s="628"/>
      <c r="BB136" s="627"/>
      <c r="BC136" s="633">
        <f t="shared" si="104"/>
        <v>0</v>
      </c>
      <c r="BD136" s="627"/>
      <c r="BE136" s="627"/>
      <c r="BF136" s="240"/>
      <c r="BG136" s="164"/>
      <c r="BH136" s="556">
        <f t="shared" si="113"/>
        <v>0</v>
      </c>
      <c r="BI136" s="526"/>
      <c r="BJ136" s="202"/>
      <c r="BK136" s="202"/>
      <c r="BL136" s="501">
        <f t="shared" si="105"/>
        <v>2443849.1999999997</v>
      </c>
      <c r="BM136" s="158"/>
      <c r="BN136" s="164"/>
      <c r="BO136" s="132"/>
      <c r="BQ136" s="230" t="str">
        <f>IF(BJ136&gt;0,BJ136,"")</f>
        <v/>
      </c>
    </row>
    <row r="137" spans="1:69" ht="24" customHeight="1" x14ac:dyDescent="0.2">
      <c r="A137" s="1148"/>
      <c r="B137" s="232" t="s">
        <v>219</v>
      </c>
      <c r="C137" s="561" t="s">
        <v>38</v>
      </c>
      <c r="D137" s="232" t="s">
        <v>12</v>
      </c>
      <c r="E137" s="242" t="s">
        <v>231</v>
      </c>
      <c r="F137" s="430" t="s">
        <v>14</v>
      </c>
      <c r="G137" s="242" t="s">
        <v>452</v>
      </c>
      <c r="H137" s="25">
        <f>62652.53-39199.26</f>
        <v>23453.269999999997</v>
      </c>
      <c r="I137" s="635">
        <f t="shared" si="106"/>
        <v>23453.269999999997</v>
      </c>
      <c r="J137" s="625">
        <f>H137-I137</f>
        <v>0</v>
      </c>
      <c r="K137" s="625">
        <f t="shared" si="98"/>
        <v>23453.269999999997</v>
      </c>
      <c r="L137" s="627"/>
      <c r="M137" s="628"/>
      <c r="N137" s="627"/>
      <c r="O137" s="629"/>
      <c r="P137" s="627"/>
      <c r="Q137" s="630"/>
      <c r="R137" s="627"/>
      <c r="S137" s="629"/>
      <c r="T137" s="627">
        <v>3371.98</v>
      </c>
      <c r="U137" s="628">
        <v>3371.98</v>
      </c>
      <c r="V137" s="627">
        <v>3371.98</v>
      </c>
      <c r="W137" s="632">
        <f t="shared" si="110"/>
        <v>0</v>
      </c>
      <c r="X137" s="627">
        <v>18971.599999999999</v>
      </c>
      <c r="Y137" s="628">
        <v>18971.599999999999</v>
      </c>
      <c r="Z137" s="627">
        <v>18971.599999999999</v>
      </c>
      <c r="AA137" s="629">
        <f t="shared" si="111"/>
        <v>0</v>
      </c>
      <c r="AB137" s="627">
        <v>1109.69</v>
      </c>
      <c r="AC137" s="628">
        <v>1109.69</v>
      </c>
      <c r="AD137" s="627">
        <v>1109.69</v>
      </c>
      <c r="AE137" s="629">
        <f t="shared" si="112"/>
        <v>0</v>
      </c>
      <c r="AF137" s="627"/>
      <c r="AG137" s="628"/>
      <c r="AH137" s="627"/>
      <c r="AI137" s="629">
        <f t="shared" si="100"/>
        <v>0</v>
      </c>
      <c r="AJ137" s="627"/>
      <c r="AK137" s="628"/>
      <c r="AL137" s="627"/>
      <c r="AM137" s="629">
        <f t="shared" si="101"/>
        <v>0</v>
      </c>
      <c r="AN137" s="627"/>
      <c r="AO137" s="628"/>
      <c r="AP137" s="627"/>
      <c r="AQ137" s="632">
        <f t="shared" si="102"/>
        <v>0</v>
      </c>
      <c r="AR137" s="627"/>
      <c r="AS137" s="628"/>
      <c r="AT137" s="627"/>
      <c r="AU137" s="629">
        <f t="shared" si="108"/>
        <v>0</v>
      </c>
      <c r="AV137" s="627"/>
      <c r="AW137" s="628"/>
      <c r="AX137" s="627"/>
      <c r="AY137" s="629">
        <f t="shared" si="103"/>
        <v>0</v>
      </c>
      <c r="AZ137" s="627"/>
      <c r="BA137" s="628"/>
      <c r="BB137" s="627"/>
      <c r="BC137" s="633">
        <f t="shared" si="104"/>
        <v>0</v>
      </c>
      <c r="BD137" s="627"/>
      <c r="BE137" s="627"/>
      <c r="BF137" s="240"/>
      <c r="BG137" s="164"/>
      <c r="BH137" s="556">
        <f t="shared" si="113"/>
        <v>0</v>
      </c>
      <c r="BI137" s="526"/>
      <c r="BJ137" s="202"/>
      <c r="BK137" s="202"/>
      <c r="BL137" s="501">
        <f t="shared" si="105"/>
        <v>23453.269999999997</v>
      </c>
      <c r="BM137" s="158"/>
      <c r="BN137" s="164"/>
      <c r="BO137" s="132"/>
      <c r="BQ137" s="230"/>
    </row>
    <row r="138" spans="1:69" ht="24" customHeight="1" x14ac:dyDescent="0.2">
      <c r="A138" s="1148"/>
      <c r="B138" s="533" t="s">
        <v>219</v>
      </c>
      <c r="C138" s="562" t="s">
        <v>38</v>
      </c>
      <c r="D138" s="533" t="s">
        <v>12</v>
      </c>
      <c r="E138" s="536" t="s">
        <v>221</v>
      </c>
      <c r="F138" s="535" t="s">
        <v>16</v>
      </c>
      <c r="G138" s="536" t="s">
        <v>452</v>
      </c>
      <c r="H138" s="637">
        <f>10251402.36+167112.64</f>
        <v>10418515</v>
      </c>
      <c r="I138" s="635">
        <f t="shared" si="106"/>
        <v>10418515</v>
      </c>
      <c r="J138" s="625">
        <f>H138-I138</f>
        <v>0</v>
      </c>
      <c r="K138" s="625">
        <f t="shared" si="98"/>
        <v>10246111.35</v>
      </c>
      <c r="L138" s="627"/>
      <c r="M138" s="628"/>
      <c r="N138" s="627"/>
      <c r="O138" s="629"/>
      <c r="P138" s="627"/>
      <c r="Q138" s="630"/>
      <c r="R138" s="627"/>
      <c r="S138" s="629"/>
      <c r="T138" s="627">
        <v>9517507.1300000008</v>
      </c>
      <c r="U138" s="628">
        <v>9517507.1300000008</v>
      </c>
      <c r="V138" s="627">
        <v>9517507.1300000008</v>
      </c>
      <c r="W138" s="632">
        <f t="shared" si="110"/>
        <v>0</v>
      </c>
      <c r="X138" s="627">
        <v>453052.12</v>
      </c>
      <c r="Y138" s="628">
        <v>453052.12</v>
      </c>
      <c r="Z138" s="627">
        <v>453052.12</v>
      </c>
      <c r="AA138" s="629">
        <f t="shared" si="111"/>
        <v>0</v>
      </c>
      <c r="AB138" s="627">
        <v>147765.06</v>
      </c>
      <c r="AC138" s="628">
        <v>147765.06</v>
      </c>
      <c r="AD138" s="627">
        <v>147765.06</v>
      </c>
      <c r="AE138" s="629">
        <f t="shared" si="112"/>
        <v>0</v>
      </c>
      <c r="AF138" s="627">
        <f>126369.86+1417.18</f>
        <v>127787.04</v>
      </c>
      <c r="AG138" s="628">
        <f>126369.86+1417.18</f>
        <v>127787.04</v>
      </c>
      <c r="AH138" s="627">
        <v>127787.04</v>
      </c>
      <c r="AI138" s="629">
        <f t="shared" si="100"/>
        <v>0</v>
      </c>
      <c r="AJ138" s="627">
        <v>120941.94</v>
      </c>
      <c r="AK138" s="628">
        <v>120941.94</v>
      </c>
      <c r="AL138" s="1018"/>
      <c r="AM138" s="629">
        <f t="shared" si="101"/>
        <v>-120941.94</v>
      </c>
      <c r="AN138" s="627">
        <v>51461.71</v>
      </c>
      <c r="AO138" s="628">
        <v>51461.71</v>
      </c>
      <c r="AP138" s="627"/>
      <c r="AQ138" s="632">
        <f t="shared" si="102"/>
        <v>-51461.71</v>
      </c>
      <c r="AR138" s="627"/>
      <c r="AS138" s="628"/>
      <c r="AT138" s="627"/>
      <c r="AU138" s="629">
        <f t="shared" si="108"/>
        <v>0</v>
      </c>
      <c r="AV138" s="627"/>
      <c r="AW138" s="628"/>
      <c r="AX138" s="627"/>
      <c r="AY138" s="629">
        <f t="shared" si="103"/>
        <v>0</v>
      </c>
      <c r="AZ138" s="627"/>
      <c r="BA138" s="628"/>
      <c r="BB138" s="627"/>
      <c r="BC138" s="633">
        <f t="shared" si="104"/>
        <v>0</v>
      </c>
      <c r="BD138" s="625"/>
      <c r="BE138" s="625"/>
      <c r="BF138" s="554"/>
      <c r="BG138" s="164"/>
      <c r="BH138" s="556">
        <f t="shared" si="113"/>
        <v>0</v>
      </c>
      <c r="BI138" s="526"/>
      <c r="BJ138" s="202"/>
      <c r="BK138" s="202"/>
      <c r="BL138" s="501">
        <f t="shared" si="105"/>
        <v>10418515</v>
      </c>
      <c r="BM138" s="771"/>
      <c r="BN138" s="164"/>
      <c r="BO138" s="132"/>
      <c r="BQ138" s="230" t="str">
        <f>IF(BJ138&gt;0,BJ138,"")</f>
        <v/>
      </c>
    </row>
    <row r="139" spans="1:69" ht="24" customHeight="1" x14ac:dyDescent="0.2">
      <c r="A139" s="1149"/>
      <c r="B139" s="533" t="s">
        <v>219</v>
      </c>
      <c r="C139" s="562" t="s">
        <v>38</v>
      </c>
      <c r="D139" s="533" t="s">
        <v>12</v>
      </c>
      <c r="E139" s="536" t="s">
        <v>231</v>
      </c>
      <c r="F139" s="535" t="s">
        <v>16</v>
      </c>
      <c r="G139" s="536" t="s">
        <v>452</v>
      </c>
      <c r="H139" s="637">
        <f>267097.64-167112.64</f>
        <v>99985</v>
      </c>
      <c r="I139" s="635">
        <f t="shared" si="106"/>
        <v>99984.999999999985</v>
      </c>
      <c r="J139" s="625">
        <f>H139-I139</f>
        <v>0</v>
      </c>
      <c r="K139" s="625">
        <f t="shared" si="98"/>
        <v>99984.999999999985</v>
      </c>
      <c r="L139" s="627"/>
      <c r="M139" s="628"/>
      <c r="N139" s="627"/>
      <c r="O139" s="629"/>
      <c r="P139" s="627"/>
      <c r="Q139" s="630"/>
      <c r="R139" s="627"/>
      <c r="S139" s="629"/>
      <c r="T139" s="627">
        <v>14375.28</v>
      </c>
      <c r="U139" s="628">
        <v>14375.28</v>
      </c>
      <c r="V139" s="627">
        <v>14375.28</v>
      </c>
      <c r="W139" s="632">
        <f t="shared" si="110"/>
        <v>0</v>
      </c>
      <c r="X139" s="627">
        <v>80878.929999999993</v>
      </c>
      <c r="Y139" s="628">
        <v>80878.929999999993</v>
      </c>
      <c r="Z139" s="627">
        <v>80878.929999999993</v>
      </c>
      <c r="AA139" s="629">
        <f t="shared" si="111"/>
        <v>0</v>
      </c>
      <c r="AB139" s="627">
        <v>4730.79</v>
      </c>
      <c r="AC139" s="628">
        <v>4730.79</v>
      </c>
      <c r="AD139" s="627">
        <v>4730.79</v>
      </c>
      <c r="AE139" s="629">
        <f t="shared" si="112"/>
        <v>0</v>
      </c>
      <c r="AF139" s="627"/>
      <c r="AG139" s="628"/>
      <c r="AH139" s="627"/>
      <c r="AI139" s="629">
        <f t="shared" si="100"/>
        <v>0</v>
      </c>
      <c r="AJ139" s="627"/>
      <c r="AK139" s="628"/>
      <c r="AL139" s="627"/>
      <c r="AM139" s="629">
        <f t="shared" si="101"/>
        <v>0</v>
      </c>
      <c r="AN139" s="627"/>
      <c r="AO139" s="628"/>
      <c r="AP139" s="627"/>
      <c r="AQ139" s="632">
        <f t="shared" si="102"/>
        <v>0</v>
      </c>
      <c r="AR139" s="627"/>
      <c r="AS139" s="628"/>
      <c r="AT139" s="627"/>
      <c r="AU139" s="629">
        <f t="shared" si="108"/>
        <v>0</v>
      </c>
      <c r="AV139" s="627"/>
      <c r="AW139" s="628"/>
      <c r="AX139" s="627"/>
      <c r="AY139" s="629">
        <f t="shared" si="103"/>
        <v>0</v>
      </c>
      <c r="AZ139" s="627"/>
      <c r="BA139" s="628"/>
      <c r="BB139" s="627"/>
      <c r="BC139" s="633">
        <f t="shared" si="104"/>
        <v>0</v>
      </c>
      <c r="BD139" s="625"/>
      <c r="BE139" s="638"/>
      <c r="BF139" s="563"/>
      <c r="BG139" s="164"/>
      <c r="BH139" s="556">
        <f t="shared" si="113"/>
        <v>0</v>
      </c>
      <c r="BI139" s="526"/>
      <c r="BJ139" s="202"/>
      <c r="BK139" s="202"/>
      <c r="BL139" s="501">
        <f t="shared" si="105"/>
        <v>99985</v>
      </c>
      <c r="BM139" s="771"/>
      <c r="BN139" s="164"/>
      <c r="BO139" s="132"/>
      <c r="BQ139" s="230"/>
    </row>
    <row r="140" spans="1:69" ht="31.5" customHeight="1" x14ac:dyDescent="0.2">
      <c r="A140" s="1129" t="s">
        <v>121</v>
      </c>
      <c r="B140" s="232" t="s">
        <v>219</v>
      </c>
      <c r="C140" s="232" t="s">
        <v>122</v>
      </c>
      <c r="D140" s="232" t="s">
        <v>12</v>
      </c>
      <c r="E140" s="232" t="s">
        <v>221</v>
      </c>
      <c r="F140" s="430" t="s">
        <v>14</v>
      </c>
      <c r="G140" s="242" t="s">
        <v>453</v>
      </c>
      <c r="H140" s="25">
        <v>7129221.1200000001</v>
      </c>
      <c r="I140" s="635">
        <f t="shared" si="106"/>
        <v>7129221.1200000001</v>
      </c>
      <c r="J140" s="625">
        <f>H140-I140</f>
        <v>0</v>
      </c>
      <c r="K140" s="627">
        <f t="shared" si="98"/>
        <v>7129221.1200000001</v>
      </c>
      <c r="L140" s="627"/>
      <c r="M140" s="628"/>
      <c r="N140" s="627"/>
      <c r="O140" s="629"/>
      <c r="P140" s="627"/>
      <c r="Q140" s="630"/>
      <c r="R140" s="627"/>
      <c r="S140" s="629"/>
      <c r="T140" s="627">
        <v>4737099.6399999997</v>
      </c>
      <c r="U140" s="628">
        <v>4737099.6399999997</v>
      </c>
      <c r="V140" s="627">
        <f>1722492.68+3014606.96</f>
        <v>4737099.6399999997</v>
      </c>
      <c r="W140" s="632">
        <f t="shared" si="110"/>
        <v>0</v>
      </c>
      <c r="X140" s="627">
        <f>1123351.75+448237.19</f>
        <v>1571588.94</v>
      </c>
      <c r="Y140" s="628">
        <f>1123351.75+448237.19</f>
        <v>1571588.94</v>
      </c>
      <c r="Z140" s="627">
        <v>1571588.94</v>
      </c>
      <c r="AA140" s="629">
        <f t="shared" si="111"/>
        <v>0</v>
      </c>
      <c r="AB140" s="627">
        <f>622667.78+197864.76</f>
        <v>820532.54</v>
      </c>
      <c r="AC140" s="628">
        <f>622667.78+197864.76</f>
        <v>820532.54</v>
      </c>
      <c r="AD140" s="631">
        <v>820532.54</v>
      </c>
      <c r="AE140" s="629">
        <f t="shared" si="112"/>
        <v>0</v>
      </c>
      <c r="AF140" s="627"/>
      <c r="AG140" s="628"/>
      <c r="AH140" s="627"/>
      <c r="AI140" s="629">
        <f t="shared" si="100"/>
        <v>0</v>
      </c>
      <c r="AJ140" s="971"/>
      <c r="AK140" s="628"/>
      <c r="AL140" s="971"/>
      <c r="AM140" s="629">
        <f t="shared" si="101"/>
        <v>0</v>
      </c>
      <c r="AN140" s="627"/>
      <c r="AO140" s="628"/>
      <c r="AP140" s="627"/>
      <c r="AQ140" s="632">
        <f t="shared" si="102"/>
        <v>0</v>
      </c>
      <c r="AR140" s="627"/>
      <c r="AS140" s="628"/>
      <c r="AT140" s="627"/>
      <c r="AU140" s="629">
        <f t="shared" si="108"/>
        <v>0</v>
      </c>
      <c r="AV140" s="627"/>
      <c r="AW140" s="628"/>
      <c r="AX140" s="627"/>
      <c r="AY140" s="629">
        <f t="shared" si="103"/>
        <v>0</v>
      </c>
      <c r="AZ140" s="627"/>
      <c r="BA140" s="628"/>
      <c r="BB140" s="627"/>
      <c r="BC140" s="633">
        <f t="shared" si="104"/>
        <v>0</v>
      </c>
      <c r="BD140" s="627"/>
      <c r="BE140" s="627"/>
      <c r="BF140" s="243"/>
      <c r="BG140" s="164"/>
      <c r="BH140" s="556">
        <f t="shared" si="113"/>
        <v>0</v>
      </c>
      <c r="BI140" s="526"/>
      <c r="BJ140" s="202"/>
      <c r="BK140" s="202"/>
      <c r="BL140" s="501">
        <f t="shared" si="105"/>
        <v>7129221.1200000001</v>
      </c>
      <c r="BM140" s="772"/>
      <c r="BN140" s="517"/>
      <c r="BO140" s="132"/>
      <c r="BQ140" s="230" t="str">
        <f>IF(BJ140&gt;0,BJ140,"")</f>
        <v/>
      </c>
    </row>
    <row r="141" spans="1:69" ht="31.5" customHeight="1" x14ac:dyDescent="0.2">
      <c r="A141" s="1131"/>
      <c r="B141" s="533" t="s">
        <v>219</v>
      </c>
      <c r="C141" s="533" t="s">
        <v>122</v>
      </c>
      <c r="D141" s="533" t="s">
        <v>12</v>
      </c>
      <c r="E141" s="533" t="s">
        <v>221</v>
      </c>
      <c r="F141" s="535" t="s">
        <v>16</v>
      </c>
      <c r="G141" s="536" t="s">
        <v>453</v>
      </c>
      <c r="H141" s="637">
        <v>17454300</v>
      </c>
      <c r="I141" s="639">
        <f>L141+P141+T141+X141+AB141+AF141+AJ141+AN141+AR141+AV141+AZ141+BD141</f>
        <v>17454300</v>
      </c>
      <c r="J141" s="625">
        <f>H141-I141</f>
        <v>0</v>
      </c>
      <c r="K141" s="627">
        <f t="shared" si="98"/>
        <v>17454300</v>
      </c>
      <c r="L141" s="627"/>
      <c r="M141" s="628"/>
      <c r="N141" s="627"/>
      <c r="O141" s="629"/>
      <c r="P141" s="627"/>
      <c r="Q141" s="630"/>
      <c r="R141" s="627"/>
      <c r="S141" s="629"/>
      <c r="T141" s="627">
        <v>11597726.710000001</v>
      </c>
      <c r="U141" s="628">
        <v>11597726.710000001</v>
      </c>
      <c r="V141" s="627">
        <f>4217137.25+7380589.46</f>
        <v>11597726.710000001</v>
      </c>
      <c r="W141" s="632">
        <f>V141-U141</f>
        <v>0</v>
      </c>
      <c r="X141" s="627">
        <f>2750274.98+1097408.28</f>
        <v>3847683.26</v>
      </c>
      <c r="Y141" s="628">
        <f>2750274.98+1097408.28</f>
        <v>3847683.26</v>
      </c>
      <c r="Z141" s="627">
        <v>3847683.26</v>
      </c>
      <c r="AA141" s="629">
        <f>Z141-Y141</f>
        <v>0</v>
      </c>
      <c r="AB141" s="627">
        <f>1524462.49+484427.54</f>
        <v>2008890.03</v>
      </c>
      <c r="AC141" s="628">
        <f>1524462.49+484427.54</f>
        <v>2008890.03</v>
      </c>
      <c r="AD141" s="631">
        <v>2008890.03</v>
      </c>
      <c r="AE141" s="629">
        <f>AD141-AC141</f>
        <v>0</v>
      </c>
      <c r="AF141" s="627"/>
      <c r="AG141" s="628"/>
      <c r="AH141" s="627"/>
      <c r="AI141" s="629">
        <f>AH141-AG141</f>
        <v>0</v>
      </c>
      <c r="AJ141" s="971"/>
      <c r="AK141" s="628"/>
      <c r="AL141" s="971"/>
      <c r="AM141" s="629">
        <f t="shared" si="101"/>
        <v>0</v>
      </c>
      <c r="AN141" s="627"/>
      <c r="AO141" s="628"/>
      <c r="AP141" s="627"/>
      <c r="AQ141" s="632">
        <f t="shared" si="102"/>
        <v>0</v>
      </c>
      <c r="AR141" s="627"/>
      <c r="AS141" s="628"/>
      <c r="AT141" s="627"/>
      <c r="AU141" s="629">
        <f>AT141-AS141</f>
        <v>0</v>
      </c>
      <c r="AV141" s="627"/>
      <c r="AW141" s="628"/>
      <c r="AX141" s="627"/>
      <c r="AY141" s="629">
        <f>AX141-AW141</f>
        <v>0</v>
      </c>
      <c r="AZ141" s="627"/>
      <c r="BA141" s="628"/>
      <c r="BB141" s="627"/>
      <c r="BC141" s="633">
        <f t="shared" si="104"/>
        <v>0</v>
      </c>
      <c r="BD141" s="627"/>
      <c r="BE141" s="627"/>
      <c r="BF141" s="243"/>
      <c r="BG141" s="164"/>
      <c r="BH141" s="556">
        <f t="shared" si="113"/>
        <v>0</v>
      </c>
      <c r="BI141" s="526"/>
      <c r="BJ141" s="202"/>
      <c r="BK141" s="202"/>
      <c r="BL141" s="501">
        <f t="shared" si="105"/>
        <v>17454300</v>
      </c>
      <c r="BM141" s="772"/>
      <c r="BN141" s="517"/>
      <c r="BO141" s="132"/>
      <c r="BQ141" s="230" t="str">
        <f>IF(BJ141&gt;0,BJ141,"")</f>
        <v/>
      </c>
    </row>
    <row r="142" spans="1:69" s="678" customFormat="1" ht="38.25" customHeight="1" x14ac:dyDescent="0.2">
      <c r="A142" s="1096" t="s">
        <v>236</v>
      </c>
      <c r="B142" s="1097"/>
      <c r="C142" s="1098"/>
      <c r="D142" s="673"/>
      <c r="E142" s="673"/>
      <c r="F142" s="674" t="s">
        <v>14</v>
      </c>
      <c r="G142" s="673"/>
      <c r="H142" s="675">
        <f>H145+H146+H147+H148+H151+H152+H153+H155+H156+H157+H158+H159+H160+H161+H162+H163+H164+H165+H166+H150</f>
        <v>1483600100</v>
      </c>
      <c r="I142" s="675">
        <f t="shared" ref="I142:BD142" si="114">I145+I146+I147+I148+I151+I152+I153+I155+I156+I157+I158+I159+I160+I161+I162+I163+I164+I165+I166+I150</f>
        <v>1483600100</v>
      </c>
      <c r="J142" s="675">
        <f t="shared" si="114"/>
        <v>0</v>
      </c>
      <c r="K142" s="675">
        <f t="shared" si="114"/>
        <v>849946002.70000005</v>
      </c>
      <c r="L142" s="675">
        <f t="shared" si="114"/>
        <v>0</v>
      </c>
      <c r="M142" s="675">
        <f t="shared" si="114"/>
        <v>0</v>
      </c>
      <c r="N142" s="675">
        <f t="shared" si="114"/>
        <v>0</v>
      </c>
      <c r="O142" s="675">
        <f t="shared" si="114"/>
        <v>0</v>
      </c>
      <c r="P142" s="675">
        <f t="shared" si="114"/>
        <v>0</v>
      </c>
      <c r="Q142" s="675">
        <f t="shared" si="114"/>
        <v>0</v>
      </c>
      <c r="R142" s="675">
        <f t="shared" si="114"/>
        <v>0</v>
      </c>
      <c r="S142" s="675">
        <f t="shared" si="114"/>
        <v>0</v>
      </c>
      <c r="T142" s="675">
        <f t="shared" si="114"/>
        <v>0</v>
      </c>
      <c r="U142" s="675">
        <f t="shared" si="114"/>
        <v>0</v>
      </c>
      <c r="V142" s="675">
        <f t="shared" si="114"/>
        <v>0</v>
      </c>
      <c r="W142" s="675">
        <f t="shared" si="114"/>
        <v>0</v>
      </c>
      <c r="X142" s="675">
        <f t="shared" si="114"/>
        <v>728148934.85000002</v>
      </c>
      <c r="Y142" s="675">
        <f t="shared" si="114"/>
        <v>728148934.85000002</v>
      </c>
      <c r="Z142" s="675">
        <f t="shared" si="114"/>
        <v>728148934.85000002</v>
      </c>
      <c r="AA142" s="675">
        <f t="shared" si="114"/>
        <v>2.9802322387695313E-8</v>
      </c>
      <c r="AB142" s="675">
        <f t="shared" si="114"/>
        <v>100888458.28</v>
      </c>
      <c r="AC142" s="675">
        <f t="shared" si="114"/>
        <v>100888458.28</v>
      </c>
      <c r="AD142" s="675">
        <f t="shared" si="114"/>
        <v>101517787.94</v>
      </c>
      <c r="AE142" s="675">
        <f t="shared" si="114"/>
        <v>629329.66</v>
      </c>
      <c r="AF142" s="675">
        <f t="shared" si="114"/>
        <v>20908609.57</v>
      </c>
      <c r="AG142" s="675">
        <f t="shared" si="114"/>
        <v>20908609.57</v>
      </c>
      <c r="AH142" s="675">
        <f t="shared" si="114"/>
        <v>20279279.91</v>
      </c>
      <c r="AI142" s="675">
        <f t="shared" si="114"/>
        <v>0</v>
      </c>
      <c r="AJ142" s="675">
        <f t="shared" si="114"/>
        <v>56338396.299999997</v>
      </c>
      <c r="AK142" s="675">
        <f t="shared" si="114"/>
        <v>56338396.299999997</v>
      </c>
      <c r="AL142" s="675">
        <f t="shared" si="114"/>
        <v>0</v>
      </c>
      <c r="AM142" s="675">
        <f t="shared" si="114"/>
        <v>-56338396.299999997</v>
      </c>
      <c r="AN142" s="675">
        <f t="shared" si="114"/>
        <v>59656100</v>
      </c>
      <c r="AO142" s="675">
        <f t="shared" si="114"/>
        <v>0</v>
      </c>
      <c r="AP142" s="675">
        <f t="shared" si="114"/>
        <v>0</v>
      </c>
      <c r="AQ142" s="675">
        <f t="shared" si="114"/>
        <v>0</v>
      </c>
      <c r="AR142" s="675">
        <f t="shared" si="114"/>
        <v>76250176.429999992</v>
      </c>
      <c r="AS142" s="675">
        <f t="shared" si="114"/>
        <v>0</v>
      </c>
      <c r="AT142" s="675">
        <f t="shared" si="114"/>
        <v>0</v>
      </c>
      <c r="AU142" s="675">
        <f t="shared" si="114"/>
        <v>629329.66</v>
      </c>
      <c r="AV142" s="675">
        <f t="shared" si="114"/>
        <v>240343839.80000001</v>
      </c>
      <c r="AW142" s="675">
        <f t="shared" si="114"/>
        <v>0</v>
      </c>
      <c r="AX142" s="675">
        <f t="shared" si="114"/>
        <v>0</v>
      </c>
      <c r="AY142" s="675">
        <f t="shared" si="114"/>
        <v>0</v>
      </c>
      <c r="AZ142" s="675">
        <f t="shared" si="114"/>
        <v>3305517.1999999997</v>
      </c>
      <c r="BA142" s="675">
        <f t="shared" si="114"/>
        <v>0</v>
      </c>
      <c r="BB142" s="675">
        <f t="shared" si="114"/>
        <v>0</v>
      </c>
      <c r="BC142" s="675">
        <f t="shared" si="114"/>
        <v>0</v>
      </c>
      <c r="BD142" s="675">
        <f t="shared" si="114"/>
        <v>197760067.56999999</v>
      </c>
      <c r="BE142" s="675">
        <f>SUMIF($F$144:$F$166,"=31",BE144:BE166)</f>
        <v>0</v>
      </c>
      <c r="BF142" s="676">
        <f>SUMIF($F$144:$F$166,"=31",BF144:BF166)</f>
        <v>0</v>
      </c>
      <c r="BG142" s="676">
        <f>SUMIF($F$144:$F$166,"=31",BG144:BG166)</f>
        <v>0</v>
      </c>
      <c r="BH142" s="676">
        <f>SUMIF($F$144:$F$166,"=31",BH144:BH166)</f>
        <v>0</v>
      </c>
      <c r="BI142" s="676"/>
      <c r="BJ142" s="676">
        <f>SUMIF($F$144:$F$166,"=31",BJ144:BJ166)</f>
        <v>0</v>
      </c>
      <c r="BK142" s="676">
        <f>SUMIF($F$144:$F$166,"=31",BK144:BK166)</f>
        <v>0</v>
      </c>
      <c r="BL142" s="676">
        <f>SUMIF($F$144:$F$166,"=31",BL144:BL166)</f>
        <v>1483600100</v>
      </c>
      <c r="BM142" s="773">
        <f>SUMIF($F$144:$F$166,"=31",BM144:BM166)</f>
        <v>0</v>
      </c>
      <c r="BN142" s="694"/>
      <c r="BO142" s="902"/>
      <c r="BQ142" s="679"/>
    </row>
    <row r="143" spans="1:69" s="685" customFormat="1" ht="38.25" customHeight="1" x14ac:dyDescent="0.2">
      <c r="A143" s="1165" t="s">
        <v>236</v>
      </c>
      <c r="B143" s="1166"/>
      <c r="C143" s="1167"/>
      <c r="D143" s="680"/>
      <c r="E143" s="680"/>
      <c r="F143" s="681" t="s">
        <v>63</v>
      </c>
      <c r="G143" s="680"/>
      <c r="H143" s="682">
        <f>H149</f>
        <v>24380900</v>
      </c>
      <c r="I143" s="682">
        <f t="shared" ref="I143:BD143" si="115">I149</f>
        <v>24380900</v>
      </c>
      <c r="J143" s="682">
        <f t="shared" si="115"/>
        <v>0</v>
      </c>
      <c r="K143" s="682">
        <f t="shared" si="115"/>
        <v>0</v>
      </c>
      <c r="L143" s="682">
        <f t="shared" si="115"/>
        <v>0</v>
      </c>
      <c r="M143" s="682">
        <f t="shared" si="115"/>
        <v>0</v>
      </c>
      <c r="N143" s="682">
        <f t="shared" si="115"/>
        <v>0</v>
      </c>
      <c r="O143" s="682">
        <f t="shared" si="115"/>
        <v>0</v>
      </c>
      <c r="P143" s="682">
        <f t="shared" si="115"/>
        <v>0</v>
      </c>
      <c r="Q143" s="682">
        <f t="shared" si="115"/>
        <v>0</v>
      </c>
      <c r="R143" s="682">
        <f t="shared" si="115"/>
        <v>0</v>
      </c>
      <c r="S143" s="682">
        <f t="shared" si="115"/>
        <v>0</v>
      </c>
      <c r="T143" s="682">
        <f t="shared" si="115"/>
        <v>0</v>
      </c>
      <c r="U143" s="682">
        <f t="shared" si="115"/>
        <v>0</v>
      </c>
      <c r="V143" s="682">
        <f t="shared" si="115"/>
        <v>0</v>
      </c>
      <c r="W143" s="682">
        <f t="shared" si="115"/>
        <v>0</v>
      </c>
      <c r="X143" s="682">
        <f t="shared" si="115"/>
        <v>0</v>
      </c>
      <c r="Y143" s="682">
        <f t="shared" si="115"/>
        <v>0</v>
      </c>
      <c r="Z143" s="682">
        <f t="shared" si="115"/>
        <v>0</v>
      </c>
      <c r="AA143" s="682">
        <f t="shared" si="115"/>
        <v>0</v>
      </c>
      <c r="AB143" s="682">
        <f t="shared" si="115"/>
        <v>0</v>
      </c>
      <c r="AC143" s="682">
        <f t="shared" si="115"/>
        <v>0</v>
      </c>
      <c r="AD143" s="682">
        <f t="shared" si="115"/>
        <v>0</v>
      </c>
      <c r="AE143" s="682">
        <f t="shared" si="115"/>
        <v>0</v>
      </c>
      <c r="AF143" s="682">
        <f t="shared" si="115"/>
        <v>0</v>
      </c>
      <c r="AG143" s="682">
        <f t="shared" si="115"/>
        <v>0</v>
      </c>
      <c r="AH143" s="682">
        <f t="shared" si="115"/>
        <v>0</v>
      </c>
      <c r="AI143" s="682">
        <f t="shared" si="115"/>
        <v>0</v>
      </c>
      <c r="AJ143" s="682">
        <f t="shared" si="115"/>
        <v>0</v>
      </c>
      <c r="AK143" s="682">
        <f t="shared" si="115"/>
        <v>0</v>
      </c>
      <c r="AL143" s="682">
        <f t="shared" si="115"/>
        <v>0</v>
      </c>
      <c r="AM143" s="682">
        <f t="shared" si="115"/>
        <v>0</v>
      </c>
      <c r="AN143" s="682">
        <f t="shared" si="115"/>
        <v>9380900</v>
      </c>
      <c r="AO143" s="682">
        <f t="shared" si="115"/>
        <v>0</v>
      </c>
      <c r="AP143" s="682">
        <f t="shared" si="115"/>
        <v>0</v>
      </c>
      <c r="AQ143" s="682">
        <f t="shared" si="115"/>
        <v>0</v>
      </c>
      <c r="AR143" s="682">
        <f t="shared" si="115"/>
        <v>0</v>
      </c>
      <c r="AS143" s="682">
        <f t="shared" si="115"/>
        <v>0</v>
      </c>
      <c r="AT143" s="682">
        <f t="shared" si="115"/>
        <v>0</v>
      </c>
      <c r="AU143" s="682">
        <f t="shared" si="115"/>
        <v>0</v>
      </c>
      <c r="AV143" s="682">
        <f t="shared" si="115"/>
        <v>0</v>
      </c>
      <c r="AW143" s="682">
        <f t="shared" si="115"/>
        <v>0</v>
      </c>
      <c r="AX143" s="682">
        <f t="shared" si="115"/>
        <v>0</v>
      </c>
      <c r="AY143" s="682">
        <f t="shared" si="115"/>
        <v>0</v>
      </c>
      <c r="AZ143" s="682">
        <f t="shared" si="115"/>
        <v>0</v>
      </c>
      <c r="BA143" s="682">
        <f t="shared" si="115"/>
        <v>0</v>
      </c>
      <c r="BB143" s="682">
        <f t="shared" si="115"/>
        <v>0</v>
      </c>
      <c r="BC143" s="682">
        <f t="shared" si="115"/>
        <v>0</v>
      </c>
      <c r="BD143" s="682">
        <f t="shared" si="115"/>
        <v>15000000</v>
      </c>
      <c r="BE143" s="683"/>
      <c r="BF143" s="666"/>
      <c r="BG143" s="666"/>
      <c r="BH143" s="666"/>
      <c r="BI143" s="666"/>
      <c r="BJ143" s="682">
        <f>BJ149</f>
        <v>0</v>
      </c>
      <c r="BK143" s="682">
        <f>BK149</f>
        <v>0</v>
      </c>
      <c r="BL143" s="682">
        <f>BL149</f>
        <v>24380900</v>
      </c>
      <c r="BM143" s="684"/>
      <c r="BN143" s="869"/>
      <c r="BO143" s="903"/>
      <c r="BQ143" s="686"/>
    </row>
    <row r="144" spans="1:69" ht="21" customHeight="1" x14ac:dyDescent="0.2">
      <c r="A144" s="1129" t="s">
        <v>340</v>
      </c>
      <c r="B144" s="232" t="s">
        <v>219</v>
      </c>
      <c r="C144" s="242" t="s">
        <v>237</v>
      </c>
      <c r="D144" s="564" t="s">
        <v>328</v>
      </c>
      <c r="E144" s="232" t="s">
        <v>231</v>
      </c>
      <c r="F144" s="430" t="s">
        <v>14</v>
      </c>
      <c r="G144" s="232"/>
      <c r="H144" s="362"/>
      <c r="I144" s="635">
        <f t="shared" ref="I144:I159" si="116">L144+P144+T144+X144+AB144+AF144+AJ144+AN144+AR144+AV144+AZ144+BD144</f>
        <v>0</v>
      </c>
      <c r="J144" s="627">
        <f t="shared" ref="J144:J166" si="117">H144-I144</f>
        <v>0</v>
      </c>
      <c r="K144" s="627">
        <f t="shared" ref="K144:K159" si="118">N144+R144+V144+Z144+AD144+AH144+AL144+AP144+AT144+AX144+BB144+BG144</f>
        <v>0</v>
      </c>
      <c r="L144" s="627"/>
      <c r="M144" s="628"/>
      <c r="N144" s="627"/>
      <c r="O144" s="629"/>
      <c r="P144" s="627"/>
      <c r="Q144" s="630"/>
      <c r="R144" s="627"/>
      <c r="S144" s="629"/>
      <c r="T144" s="25"/>
      <c r="U144" s="628"/>
      <c r="V144" s="627"/>
      <c r="W144" s="629">
        <f>V144-U144</f>
        <v>0</v>
      </c>
      <c r="X144" s="627"/>
      <c r="Y144" s="628"/>
      <c r="Z144" s="627"/>
      <c r="AA144" s="629">
        <f>Z144-Y144+W144</f>
        <v>0</v>
      </c>
      <c r="AB144" s="627"/>
      <c r="AC144" s="628"/>
      <c r="AD144" s="627"/>
      <c r="AE144" s="629">
        <f t="shared" ref="AE144:AE156" si="119">AD144-AC144</f>
        <v>0</v>
      </c>
      <c r="AF144" s="640"/>
      <c r="AG144" s="628"/>
      <c r="AH144" s="627"/>
      <c r="AI144" s="629">
        <f>AH144-AG144</f>
        <v>0</v>
      </c>
      <c r="AJ144" s="627"/>
      <c r="AK144" s="628"/>
      <c r="AL144" s="627"/>
      <c r="AM144" s="629"/>
      <c r="AN144" s="627"/>
      <c r="AO144" s="628"/>
      <c r="AP144" s="627"/>
      <c r="AQ144" s="632"/>
      <c r="AR144" s="640"/>
      <c r="AS144" s="628"/>
      <c r="AT144" s="627"/>
      <c r="AU144" s="632"/>
      <c r="AV144" s="627"/>
      <c r="AW144" s="628"/>
      <c r="AX144" s="627"/>
      <c r="AY144" s="629"/>
      <c r="AZ144" s="640"/>
      <c r="BA144" s="628"/>
      <c r="BB144" s="627"/>
      <c r="BC144" s="633"/>
      <c r="BD144" s="640"/>
      <c r="BE144" s="627"/>
      <c r="BF144" s="240"/>
      <c r="BG144" s="164"/>
      <c r="BH144" s="234">
        <f t="shared" ref="BH144:BH154" si="120">BG144-BF144</f>
        <v>0</v>
      </c>
      <c r="BI144" s="526"/>
      <c r="BJ144" s="202"/>
      <c r="BK144" s="202"/>
      <c r="BL144" s="501">
        <f t="shared" ref="BL144:BL159" si="121">H144+BJ144+BK144</f>
        <v>0</v>
      </c>
      <c r="BM144" s="443"/>
      <c r="BN144" s="1127" t="s">
        <v>637</v>
      </c>
      <c r="BO144" s="905"/>
      <c r="BQ144" s="230"/>
    </row>
    <row r="145" spans="1:69" ht="21" customHeight="1" x14ac:dyDescent="0.2">
      <c r="A145" s="1130"/>
      <c r="B145" s="232" t="s">
        <v>219</v>
      </c>
      <c r="C145" s="242" t="s">
        <v>237</v>
      </c>
      <c r="D145" s="232" t="s">
        <v>12</v>
      </c>
      <c r="E145" s="232" t="s">
        <v>221</v>
      </c>
      <c r="F145" s="430" t="s">
        <v>14</v>
      </c>
      <c r="G145" s="232"/>
      <c r="H145" s="25">
        <f>328043000+10107502.22</f>
        <v>338150502.22000003</v>
      </c>
      <c r="I145" s="635">
        <f t="shared" si="116"/>
        <v>338150502.22000003</v>
      </c>
      <c r="J145" s="627">
        <f t="shared" si="117"/>
        <v>0</v>
      </c>
      <c r="K145" s="627">
        <f t="shared" si="118"/>
        <v>274961679.06</v>
      </c>
      <c r="L145" s="627"/>
      <c r="M145" s="628"/>
      <c r="N145" s="627"/>
      <c r="O145" s="629"/>
      <c r="P145" s="627"/>
      <c r="Q145" s="630"/>
      <c r="R145" s="627"/>
      <c r="S145" s="629">
        <f>R145-Q145</f>
        <v>0</v>
      </c>
      <c r="T145" s="25"/>
      <c r="U145" s="628"/>
      <c r="V145" s="627"/>
      <c r="W145" s="629">
        <f>V145-U145</f>
        <v>0</v>
      </c>
      <c r="X145" s="627">
        <f>281495200-71293173.64</f>
        <v>210202026.36000001</v>
      </c>
      <c r="Y145" s="628">
        <f>281495200-71293173.64</f>
        <v>210202026.36000001</v>
      </c>
      <c r="Z145" s="627">
        <v>210202026.36000001</v>
      </c>
      <c r="AA145" s="629">
        <f>Z145-Y145+W145</f>
        <v>0</v>
      </c>
      <c r="AB145" s="627">
        <f>127948475.86-63188823.16</f>
        <v>64759652.700000003</v>
      </c>
      <c r="AC145" s="628">
        <f>127948475.86-63188823.16</f>
        <v>64759652.700000003</v>
      </c>
      <c r="AD145" s="627">
        <v>64759652.700000003</v>
      </c>
      <c r="AE145" s="629">
        <f t="shared" si="119"/>
        <v>0</v>
      </c>
      <c r="AF145" s="25"/>
      <c r="AG145" s="628"/>
      <c r="AH145" s="627"/>
      <c r="AI145" s="629">
        <f>AH145-AG145</f>
        <v>0</v>
      </c>
      <c r="AJ145" s="627"/>
      <c r="AK145" s="628"/>
      <c r="AL145" s="627"/>
      <c r="AM145" s="629">
        <f>AL145-AK145</f>
        <v>0</v>
      </c>
      <c r="AN145" s="627"/>
      <c r="AO145" s="628"/>
      <c r="AP145" s="627"/>
      <c r="AQ145" s="632">
        <f>AP145-AO145</f>
        <v>0</v>
      </c>
      <c r="AR145" s="627">
        <v>63188823.159999996</v>
      </c>
      <c r="AS145" s="628"/>
      <c r="AT145" s="627"/>
      <c r="AU145" s="632">
        <f>AT145-AS145+AE145</f>
        <v>0</v>
      </c>
      <c r="AV145" s="627"/>
      <c r="AW145" s="628"/>
      <c r="AX145" s="627"/>
      <c r="AY145" s="629">
        <f>AX145-AW145</f>
        <v>0</v>
      </c>
      <c r="AZ145" s="627"/>
      <c r="BA145" s="628"/>
      <c r="BB145" s="627"/>
      <c r="BC145" s="633">
        <f>BB145-BA145</f>
        <v>0</v>
      </c>
      <c r="BD145" s="627"/>
      <c r="BE145" s="641"/>
      <c r="BF145" s="240"/>
      <c r="BG145" s="164"/>
      <c r="BH145" s="234">
        <f t="shared" si="120"/>
        <v>0</v>
      </c>
      <c r="BI145" s="526"/>
      <c r="BJ145" s="202"/>
      <c r="BK145" s="202"/>
      <c r="BL145" s="501">
        <f t="shared" si="121"/>
        <v>338150502.22000003</v>
      </c>
      <c r="BM145" s="158"/>
      <c r="BN145" s="1127"/>
      <c r="BO145" s="904"/>
      <c r="BQ145" s="230"/>
    </row>
    <row r="146" spans="1:69" ht="21" customHeight="1" x14ac:dyDescent="0.2">
      <c r="A146" s="1131"/>
      <c r="B146" s="232" t="s">
        <v>219</v>
      </c>
      <c r="C146" s="242" t="s">
        <v>237</v>
      </c>
      <c r="D146" s="232" t="s">
        <v>12</v>
      </c>
      <c r="E146" s="232" t="s">
        <v>231</v>
      </c>
      <c r="F146" s="430" t="s">
        <v>14</v>
      </c>
      <c r="G146" s="232"/>
      <c r="H146" s="25">
        <f>65200000-10107502.22</f>
        <v>55092497.780000001</v>
      </c>
      <c r="I146" s="635">
        <f t="shared" si="116"/>
        <v>55092497.780000001</v>
      </c>
      <c r="J146" s="627">
        <f t="shared" si="117"/>
        <v>0</v>
      </c>
      <c r="K146" s="627">
        <f t="shared" si="118"/>
        <v>42031144.509999998</v>
      </c>
      <c r="L146" s="627"/>
      <c r="M146" s="628"/>
      <c r="N146" s="627"/>
      <c r="O146" s="629"/>
      <c r="P146" s="627"/>
      <c r="Q146" s="630"/>
      <c r="R146" s="627"/>
      <c r="S146" s="629"/>
      <c r="T146" s="25"/>
      <c r="U146" s="628"/>
      <c r="V146" s="627"/>
      <c r="W146" s="629">
        <f>V146-U146</f>
        <v>0</v>
      </c>
      <c r="X146" s="627">
        <f>35435820-17553062.26</f>
        <v>17882757.739999998</v>
      </c>
      <c r="Y146" s="628">
        <f>35435820-17553062.26</f>
        <v>17882757.739999998</v>
      </c>
      <c r="Z146" s="627">
        <v>17882757.739999998</v>
      </c>
      <c r="AA146" s="629">
        <f>Z146-Y146+W146</f>
        <v>0</v>
      </c>
      <c r="AB146" s="627">
        <f>37209740.04-13061353.27</f>
        <v>24148386.77</v>
      </c>
      <c r="AC146" s="628">
        <f>37209740.04-13061353.27</f>
        <v>24148386.77</v>
      </c>
      <c r="AD146" s="627">
        <v>24148386.77</v>
      </c>
      <c r="AE146" s="629">
        <f t="shared" si="119"/>
        <v>0</v>
      </c>
      <c r="AF146" s="25"/>
      <c r="AG146" s="628"/>
      <c r="AH146" s="627"/>
      <c r="AI146" s="629">
        <f t="shared" ref="AI146:AI159" si="122">AH146-AG146</f>
        <v>0</v>
      </c>
      <c r="AJ146" s="627"/>
      <c r="AK146" s="628"/>
      <c r="AL146" s="627"/>
      <c r="AM146" s="629">
        <f t="shared" ref="AM146:AM155" si="123">AL146-AK146</f>
        <v>0</v>
      </c>
      <c r="AN146" s="627"/>
      <c r="AO146" s="628"/>
      <c r="AP146" s="627"/>
      <c r="AQ146" s="632">
        <f t="shared" ref="AQ146:AQ158" si="124">AP146-AO146</f>
        <v>0</v>
      </c>
      <c r="AR146" s="627">
        <v>13061353.27</v>
      </c>
      <c r="AS146" s="628"/>
      <c r="AT146" s="627"/>
      <c r="AU146" s="632">
        <f>AT146-AS146+AE146</f>
        <v>0</v>
      </c>
      <c r="AV146" s="627"/>
      <c r="AW146" s="628"/>
      <c r="AX146" s="627"/>
      <c r="AY146" s="629">
        <f>AX146-AW146</f>
        <v>0</v>
      </c>
      <c r="AZ146" s="627"/>
      <c r="BA146" s="628"/>
      <c r="BB146" s="627"/>
      <c r="BC146" s="633"/>
      <c r="BD146" s="627"/>
      <c r="BE146" s="627"/>
      <c r="BF146" s="240"/>
      <c r="BG146" s="164"/>
      <c r="BH146" s="234">
        <f t="shared" si="120"/>
        <v>0</v>
      </c>
      <c r="BI146" s="526"/>
      <c r="BJ146" s="202"/>
      <c r="BK146" s="202"/>
      <c r="BL146" s="501">
        <f t="shared" si="121"/>
        <v>55092497.780000001</v>
      </c>
      <c r="BM146" s="158"/>
      <c r="BN146" s="1127"/>
      <c r="BO146" s="905"/>
      <c r="BQ146" s="230"/>
    </row>
    <row r="147" spans="1:69" ht="39.75" customHeight="1" x14ac:dyDescent="0.25">
      <c r="A147" s="1158" t="s">
        <v>300</v>
      </c>
      <c r="B147" s="232" t="s">
        <v>219</v>
      </c>
      <c r="C147" s="566" t="s">
        <v>317</v>
      </c>
      <c r="D147" s="232" t="s">
        <v>12</v>
      </c>
      <c r="E147" s="232" t="s">
        <v>221</v>
      </c>
      <c r="F147" s="430" t="s">
        <v>14</v>
      </c>
      <c r="G147" s="232"/>
      <c r="H147" s="25">
        <v>45427800</v>
      </c>
      <c r="I147" s="635">
        <f t="shared" si="116"/>
        <v>45427800</v>
      </c>
      <c r="J147" s="627">
        <f t="shared" si="117"/>
        <v>0</v>
      </c>
      <c r="K147" s="627">
        <f t="shared" si="118"/>
        <v>8346594.1100000003</v>
      </c>
      <c r="L147" s="627"/>
      <c r="M147" s="628"/>
      <c r="N147" s="627"/>
      <c r="O147" s="629"/>
      <c r="P147" s="627"/>
      <c r="Q147" s="630"/>
      <c r="R147" s="627"/>
      <c r="S147" s="629"/>
      <c r="T147" s="627"/>
      <c r="U147" s="628"/>
      <c r="V147" s="627"/>
      <c r="W147" s="629"/>
      <c r="X147" s="627">
        <v>7717264.4500000002</v>
      </c>
      <c r="Y147" s="856">
        <v>7717264.4500000002</v>
      </c>
      <c r="Z147" s="121">
        <v>7717264.4500000002</v>
      </c>
      <c r="AA147" s="629">
        <f>Z147-Y147</f>
        <v>0</v>
      </c>
      <c r="AB147" s="627"/>
      <c r="AC147" s="628"/>
      <c r="AD147" s="627">
        <v>629329.66</v>
      </c>
      <c r="AE147" s="629">
        <f t="shared" si="119"/>
        <v>629329.66</v>
      </c>
      <c r="AF147" s="627">
        <v>629329.66</v>
      </c>
      <c r="AG147" s="628">
        <v>629329.66</v>
      </c>
      <c r="AH147" s="627"/>
      <c r="AI147" s="629">
        <f>AH147-AG147+AD147</f>
        <v>0</v>
      </c>
      <c r="AJ147" s="627"/>
      <c r="AK147" s="628"/>
      <c r="AL147" s="627"/>
      <c r="AM147" s="629">
        <f t="shared" si="123"/>
        <v>0</v>
      </c>
      <c r="AN147" s="627"/>
      <c r="AO147" s="628"/>
      <c r="AP147" s="627"/>
      <c r="AQ147" s="632">
        <f t="shared" si="124"/>
        <v>0</v>
      </c>
      <c r="AR147" s="627"/>
      <c r="AS147" s="628"/>
      <c r="AT147" s="627"/>
      <c r="AU147" s="632">
        <f>AT147-AS147+AE147</f>
        <v>629329.66</v>
      </c>
      <c r="AV147" s="627"/>
      <c r="AW147" s="628"/>
      <c r="AX147" s="627"/>
      <c r="AY147" s="629">
        <f t="shared" ref="AY147:AY152" si="125">AX147-AW147</f>
        <v>0</v>
      </c>
      <c r="AZ147" s="627"/>
      <c r="BA147" s="628"/>
      <c r="BB147" s="627"/>
      <c r="BC147" s="633"/>
      <c r="BD147" s="627">
        <f>37710535.55-629329.66</f>
        <v>37081205.890000001</v>
      </c>
      <c r="BE147" s="627"/>
      <c r="BF147" s="240"/>
      <c r="BG147" s="164"/>
      <c r="BH147" s="234">
        <f t="shared" si="120"/>
        <v>0</v>
      </c>
      <c r="BI147" s="526"/>
      <c r="BJ147" s="202"/>
      <c r="BK147" s="202"/>
      <c r="BL147" s="501">
        <f t="shared" si="121"/>
        <v>45427800</v>
      </c>
      <c r="BM147" s="158"/>
      <c r="BN147" s="1127" t="s">
        <v>647</v>
      </c>
      <c r="BO147" s="905"/>
      <c r="BQ147" s="230"/>
    </row>
    <row r="148" spans="1:69" ht="46.5" customHeight="1" x14ac:dyDescent="0.25">
      <c r="A148" s="1160"/>
      <c r="B148" s="232" t="s">
        <v>219</v>
      </c>
      <c r="C148" s="566" t="s">
        <v>317</v>
      </c>
      <c r="D148" s="232" t="s">
        <v>12</v>
      </c>
      <c r="E148" s="232" t="s">
        <v>231</v>
      </c>
      <c r="F148" s="430" t="s">
        <v>14</v>
      </c>
      <c r="G148" s="232"/>
      <c r="H148" s="202">
        <v>5500000</v>
      </c>
      <c r="I148" s="510">
        <f t="shared" si="116"/>
        <v>5500000</v>
      </c>
      <c r="J148" s="164">
        <f t="shared" si="117"/>
        <v>0</v>
      </c>
      <c r="K148" s="164">
        <f t="shared" si="118"/>
        <v>2502232.77</v>
      </c>
      <c r="L148" s="164"/>
      <c r="M148" s="240"/>
      <c r="N148" s="164"/>
      <c r="O148" s="241"/>
      <c r="P148" s="164"/>
      <c r="Q148" s="554"/>
      <c r="R148" s="164"/>
      <c r="S148" s="241"/>
      <c r="T148" s="164"/>
      <c r="U148" s="240"/>
      <c r="V148" s="164"/>
      <c r="W148" s="241"/>
      <c r="X148" s="164">
        <v>2502232.77</v>
      </c>
      <c r="Y148" s="856">
        <v>2502232.77</v>
      </c>
      <c r="Z148" s="121">
        <v>2502232.77</v>
      </c>
      <c r="AA148" s="241">
        <f>Z148-Y148</f>
        <v>0</v>
      </c>
      <c r="AB148" s="164">
        <f>1532912.99-1532912.99</f>
        <v>0</v>
      </c>
      <c r="AC148" s="240">
        <f>1532912.99-1532912.99</f>
        <v>0</v>
      </c>
      <c r="AD148" s="164"/>
      <c r="AE148" s="241">
        <f t="shared" si="119"/>
        <v>0</v>
      </c>
      <c r="AF148" s="164"/>
      <c r="AG148" s="240"/>
      <c r="AH148" s="164"/>
      <c r="AI148" s="241">
        <f t="shared" si="122"/>
        <v>0</v>
      </c>
      <c r="AJ148" s="164"/>
      <c r="AK148" s="240"/>
      <c r="AL148" s="164"/>
      <c r="AM148" s="241">
        <f t="shared" si="123"/>
        <v>0</v>
      </c>
      <c r="AN148" s="164"/>
      <c r="AO148" s="240"/>
      <c r="AP148" s="164"/>
      <c r="AQ148" s="234">
        <f t="shared" si="124"/>
        <v>0</v>
      </c>
      <c r="AR148" s="164"/>
      <c r="AS148" s="240"/>
      <c r="AT148" s="164"/>
      <c r="AU148" s="234">
        <f>AT148-AS148+AE148</f>
        <v>0</v>
      </c>
      <c r="AV148" s="164"/>
      <c r="AW148" s="240"/>
      <c r="AX148" s="164"/>
      <c r="AY148" s="241">
        <f t="shared" si="125"/>
        <v>0</v>
      </c>
      <c r="AZ148" s="164"/>
      <c r="BA148" s="240"/>
      <c r="BB148" s="164"/>
      <c r="BC148" s="556"/>
      <c r="BD148" s="164">
        <f>1464854.24+1532912.99</f>
        <v>2997767.23</v>
      </c>
      <c r="BE148" s="164"/>
      <c r="BF148" s="240"/>
      <c r="BG148" s="164"/>
      <c r="BH148" s="234">
        <f t="shared" si="120"/>
        <v>0</v>
      </c>
      <c r="BI148" s="526"/>
      <c r="BJ148" s="202"/>
      <c r="BK148" s="202"/>
      <c r="BL148" s="501">
        <f t="shared" si="121"/>
        <v>5500000</v>
      </c>
      <c r="BM148" s="158"/>
      <c r="BN148" s="1127"/>
      <c r="BO148" s="905"/>
      <c r="BQ148" s="230"/>
    </row>
    <row r="149" spans="1:69" ht="110.25" x14ac:dyDescent="0.2">
      <c r="A149" s="244" t="s">
        <v>299</v>
      </c>
      <c r="B149" s="232" t="s">
        <v>219</v>
      </c>
      <c r="C149" s="232" t="s">
        <v>124</v>
      </c>
      <c r="D149" s="232" t="s">
        <v>220</v>
      </c>
      <c r="E149" s="232" t="s">
        <v>238</v>
      </c>
      <c r="F149" s="430" t="s">
        <v>63</v>
      </c>
      <c r="G149" s="232"/>
      <c r="H149" s="202">
        <v>24380900</v>
      </c>
      <c r="I149" s="510">
        <f>L149+P149+T149+X149+AB149+AF149+AJ149+AN149+AR149+AV149+AZ149+BD149</f>
        <v>24380900</v>
      </c>
      <c r="J149" s="164">
        <f t="shared" si="117"/>
        <v>0</v>
      </c>
      <c r="K149" s="164">
        <f t="shared" si="118"/>
        <v>0</v>
      </c>
      <c r="L149" s="164"/>
      <c r="M149" s="240"/>
      <c r="N149" s="164"/>
      <c r="O149" s="241"/>
      <c r="P149" s="164"/>
      <c r="Q149" s="554"/>
      <c r="R149" s="164"/>
      <c r="S149" s="241"/>
      <c r="T149" s="202"/>
      <c r="U149" s="240"/>
      <c r="V149" s="164"/>
      <c r="W149" s="241">
        <f t="shared" ref="W149:W156" si="126">V149-U149</f>
        <v>0</v>
      </c>
      <c r="X149" s="164"/>
      <c r="Y149" s="240"/>
      <c r="Z149" s="164"/>
      <c r="AA149" s="241">
        <f t="shared" ref="AA149:AA154" si="127">Z149-Y149</f>
        <v>0</v>
      </c>
      <c r="AB149" s="164"/>
      <c r="AC149" s="240"/>
      <c r="AD149" s="164"/>
      <c r="AE149" s="241">
        <f t="shared" si="119"/>
        <v>0</v>
      </c>
      <c r="AF149" s="164"/>
      <c r="AG149" s="240"/>
      <c r="AH149" s="164"/>
      <c r="AI149" s="241">
        <f t="shared" si="122"/>
        <v>0</v>
      </c>
      <c r="AJ149" s="967"/>
      <c r="AK149" s="628"/>
      <c r="AL149" s="967"/>
      <c r="AM149" s="629">
        <f t="shared" si="123"/>
        <v>0</v>
      </c>
      <c r="AN149" s="967">
        <v>9380900</v>
      </c>
      <c r="AO149" s="628"/>
      <c r="AP149" s="967"/>
      <c r="AQ149" s="632">
        <f t="shared" si="124"/>
        <v>0</v>
      </c>
      <c r="AR149" s="967"/>
      <c r="AS149" s="628"/>
      <c r="AT149" s="967"/>
      <c r="AU149" s="632">
        <f t="shared" ref="AU149:AU159" si="128">AT149-AS149</f>
        <v>0</v>
      </c>
      <c r="AV149" s="967"/>
      <c r="AW149" s="628"/>
      <c r="AX149" s="967"/>
      <c r="AY149" s="629">
        <f t="shared" si="125"/>
        <v>0</v>
      </c>
      <c r="AZ149" s="967"/>
      <c r="BA149" s="628"/>
      <c r="BB149" s="967"/>
      <c r="BC149" s="633">
        <f t="shared" si="104"/>
        <v>0</v>
      </c>
      <c r="BD149" s="967">
        <v>15000000</v>
      </c>
      <c r="BE149" s="164"/>
      <c r="BF149" s="240"/>
      <c r="BG149" s="164"/>
      <c r="BH149" s="234">
        <f t="shared" si="120"/>
        <v>0</v>
      </c>
      <c r="BI149" s="251" t="s">
        <v>385</v>
      </c>
      <c r="BJ149" s="202"/>
      <c r="BK149" s="202"/>
      <c r="BL149" s="501">
        <f t="shared" si="121"/>
        <v>24380900</v>
      </c>
      <c r="BM149" s="158"/>
      <c r="BN149" s="783"/>
      <c r="BO149" s="132"/>
      <c r="BQ149" s="230" t="str">
        <f>IF(BJ149&gt;0,BJ149,"")</f>
        <v/>
      </c>
    </row>
    <row r="150" spans="1:69" ht="82.5" customHeight="1" x14ac:dyDescent="0.2">
      <c r="A150" s="591" t="s">
        <v>420</v>
      </c>
      <c r="B150" s="232" t="s">
        <v>219</v>
      </c>
      <c r="C150" s="232" t="s">
        <v>419</v>
      </c>
      <c r="D150" s="232" t="s">
        <v>227</v>
      </c>
      <c r="E150" s="232" t="s">
        <v>228</v>
      </c>
      <c r="F150" s="430" t="s">
        <v>14</v>
      </c>
      <c r="G150" s="232"/>
      <c r="H150" s="202">
        <v>25000000</v>
      </c>
      <c r="I150" s="510">
        <f>L150+P150+T150+X150+AB150+AF150+AJ150+AN150+AR150+AV150+AZ150+BD150</f>
        <v>25000000</v>
      </c>
      <c r="J150" s="164">
        <f t="shared" si="117"/>
        <v>0</v>
      </c>
      <c r="K150" s="164"/>
      <c r="L150" s="164"/>
      <c r="M150" s="240"/>
      <c r="N150" s="164"/>
      <c r="O150" s="241"/>
      <c r="P150" s="164"/>
      <c r="Q150" s="554"/>
      <c r="R150" s="164"/>
      <c r="S150" s="241"/>
      <c r="T150" s="202"/>
      <c r="U150" s="240"/>
      <c r="V150" s="164"/>
      <c r="W150" s="241"/>
      <c r="X150" s="164"/>
      <c r="Y150" s="240"/>
      <c r="Z150" s="164"/>
      <c r="AA150" s="241"/>
      <c r="AB150" s="164"/>
      <c r="AC150" s="240"/>
      <c r="AD150" s="164"/>
      <c r="AE150" s="241">
        <f t="shared" si="119"/>
        <v>0</v>
      </c>
      <c r="AF150" s="625"/>
      <c r="AG150" s="630"/>
      <c r="AH150" s="164"/>
      <c r="AI150" s="946">
        <f t="shared" si="122"/>
        <v>0</v>
      </c>
      <c r="AJ150" s="967">
        <v>25000000</v>
      </c>
      <c r="AK150" s="628">
        <v>25000000</v>
      </c>
      <c r="AL150" s="967"/>
      <c r="AM150" s="629">
        <f t="shared" si="123"/>
        <v>-25000000</v>
      </c>
      <c r="AN150" s="967"/>
      <c r="AO150" s="628"/>
      <c r="AP150" s="967"/>
      <c r="AQ150" s="632"/>
      <c r="AR150" s="967"/>
      <c r="AS150" s="628"/>
      <c r="AT150" s="967"/>
      <c r="AU150" s="632"/>
      <c r="AV150" s="967"/>
      <c r="AW150" s="628"/>
      <c r="AX150" s="967"/>
      <c r="AY150" s="629"/>
      <c r="AZ150" s="967"/>
      <c r="BA150" s="628"/>
      <c r="BB150" s="967"/>
      <c r="BC150" s="633"/>
      <c r="BD150" s="967"/>
      <c r="BE150" s="164"/>
      <c r="BF150" s="240"/>
      <c r="BG150" s="164"/>
      <c r="BH150" s="234"/>
      <c r="BI150" s="251"/>
      <c r="BJ150" s="202"/>
      <c r="BK150" s="202"/>
      <c r="BL150" s="501">
        <f t="shared" si="121"/>
        <v>25000000</v>
      </c>
      <c r="BM150" s="158"/>
      <c r="BN150" s="641" t="s">
        <v>668</v>
      </c>
      <c r="BO150" s="132"/>
      <c r="BQ150" s="230"/>
    </row>
    <row r="151" spans="1:69" ht="21.75" customHeight="1" x14ac:dyDescent="0.2">
      <c r="A151" s="1109" t="s">
        <v>125</v>
      </c>
      <c r="B151" s="232" t="s">
        <v>219</v>
      </c>
      <c r="C151" s="232" t="s">
        <v>126</v>
      </c>
      <c r="D151" s="232" t="s">
        <v>12</v>
      </c>
      <c r="E151" s="232" t="s">
        <v>220</v>
      </c>
      <c r="F151" s="430" t="s">
        <v>14</v>
      </c>
      <c r="G151" s="232"/>
      <c r="H151" s="202">
        <v>1280000</v>
      </c>
      <c r="I151" s="510">
        <f t="shared" si="116"/>
        <v>1280000</v>
      </c>
      <c r="J151" s="164">
        <f t="shared" si="117"/>
        <v>0</v>
      </c>
      <c r="K151" s="164">
        <f t="shared" si="118"/>
        <v>454000</v>
      </c>
      <c r="L151" s="164"/>
      <c r="M151" s="240"/>
      <c r="N151" s="164"/>
      <c r="O151" s="241"/>
      <c r="P151" s="164"/>
      <c r="Q151" s="554"/>
      <c r="R151" s="164"/>
      <c r="S151" s="241"/>
      <c r="T151" s="202"/>
      <c r="U151" s="240"/>
      <c r="V151" s="164"/>
      <c r="W151" s="241">
        <f t="shared" si="126"/>
        <v>0</v>
      </c>
      <c r="X151" s="164">
        <f>1280000-877500</f>
        <v>402500</v>
      </c>
      <c r="Y151" s="240">
        <f>1280000-877500</f>
        <v>402500</v>
      </c>
      <c r="Z151" s="164">
        <v>402500</v>
      </c>
      <c r="AA151" s="241">
        <f t="shared" si="127"/>
        <v>0</v>
      </c>
      <c r="AB151" s="164"/>
      <c r="AC151" s="240"/>
      <c r="AD151" s="164"/>
      <c r="AE151" s="241">
        <f t="shared" si="119"/>
        <v>0</v>
      </c>
      <c r="AF151" s="164">
        <v>51500</v>
      </c>
      <c r="AG151" s="240">
        <v>51500</v>
      </c>
      <c r="AH151" s="164">
        <v>51500</v>
      </c>
      <c r="AI151" s="241">
        <f t="shared" si="122"/>
        <v>0</v>
      </c>
      <c r="AJ151" s="967"/>
      <c r="AK151" s="628"/>
      <c r="AL151" s="967"/>
      <c r="AM151" s="629">
        <f t="shared" si="123"/>
        <v>0</v>
      </c>
      <c r="AN151" s="967"/>
      <c r="AO151" s="628"/>
      <c r="AP151" s="967"/>
      <c r="AQ151" s="632">
        <f t="shared" si="124"/>
        <v>0</v>
      </c>
      <c r="AR151" s="967"/>
      <c r="AS151" s="628"/>
      <c r="AT151" s="967"/>
      <c r="AU151" s="632">
        <f t="shared" si="128"/>
        <v>0</v>
      </c>
      <c r="AV151" s="967">
        <v>826000</v>
      </c>
      <c r="AW151" s="628"/>
      <c r="AX151" s="967"/>
      <c r="AY151" s="629">
        <f t="shared" si="125"/>
        <v>0</v>
      </c>
      <c r="AZ151" s="967"/>
      <c r="BA151" s="628"/>
      <c r="BB151" s="967"/>
      <c r="BC151" s="633"/>
      <c r="BD151" s="967"/>
      <c r="BE151" s="164"/>
      <c r="BF151" s="240"/>
      <c r="BG151" s="164"/>
      <c r="BH151" s="234">
        <f t="shared" si="120"/>
        <v>0</v>
      </c>
      <c r="BI151" s="526"/>
      <c r="BJ151" s="202"/>
      <c r="BK151" s="202"/>
      <c r="BL151" s="501">
        <f t="shared" si="121"/>
        <v>1280000</v>
      </c>
      <c r="BM151" s="158"/>
      <c r="BN151" s="1132" t="s">
        <v>648</v>
      </c>
      <c r="BO151" s="132"/>
      <c r="BQ151" s="230"/>
    </row>
    <row r="152" spans="1:69" ht="21" customHeight="1" x14ac:dyDescent="0.2">
      <c r="A152" s="1110"/>
      <c r="B152" s="232" t="s">
        <v>219</v>
      </c>
      <c r="C152" s="232" t="s">
        <v>126</v>
      </c>
      <c r="D152" s="232" t="s">
        <v>12</v>
      </c>
      <c r="E152" s="232" t="s">
        <v>221</v>
      </c>
      <c r="F152" s="430" t="s">
        <v>14</v>
      </c>
      <c r="G152" s="232"/>
      <c r="H152" s="202">
        <v>60678200</v>
      </c>
      <c r="I152" s="510">
        <f t="shared" si="116"/>
        <v>60678200</v>
      </c>
      <c r="J152" s="164">
        <f t="shared" si="117"/>
        <v>0</v>
      </c>
      <c r="K152" s="164">
        <f t="shared" si="118"/>
        <v>36647734.799999997</v>
      </c>
      <c r="L152" s="164"/>
      <c r="M152" s="240"/>
      <c r="N152" s="164"/>
      <c r="O152" s="241"/>
      <c r="P152" s="164"/>
      <c r="Q152" s="554"/>
      <c r="R152" s="164"/>
      <c r="S152" s="241"/>
      <c r="T152" s="202"/>
      <c r="U152" s="240"/>
      <c r="V152" s="164"/>
      <c r="W152" s="241">
        <f t="shared" si="126"/>
        <v>0</v>
      </c>
      <c r="X152" s="164">
        <f>24490600-5422325.15</f>
        <v>19068274.850000001</v>
      </c>
      <c r="Y152" s="240">
        <f>24490600-5422325.15</f>
        <v>19068274.850000001</v>
      </c>
      <c r="Z152" s="164">
        <v>19068274.850000001</v>
      </c>
      <c r="AA152" s="241">
        <f t="shared" si="127"/>
        <v>0</v>
      </c>
      <c r="AB152" s="164"/>
      <c r="AC152" s="240"/>
      <c r="AD152" s="164"/>
      <c r="AE152" s="241">
        <f t="shared" si="119"/>
        <v>0</v>
      </c>
      <c r="AF152" s="164">
        <f>27704914.59-10125454.64</f>
        <v>17579459.949999999</v>
      </c>
      <c r="AG152" s="240">
        <f>27704914.59-10125454.64</f>
        <v>17579459.949999999</v>
      </c>
      <c r="AH152" s="164">
        <v>17579459.949999999</v>
      </c>
      <c r="AI152" s="241">
        <f t="shared" si="122"/>
        <v>0</v>
      </c>
      <c r="AJ152" s="967"/>
      <c r="AK152" s="628"/>
      <c r="AL152" s="967"/>
      <c r="AM152" s="629">
        <f t="shared" si="123"/>
        <v>0</v>
      </c>
      <c r="AN152" s="967"/>
      <c r="AO152" s="628"/>
      <c r="AP152" s="967"/>
      <c r="AQ152" s="632">
        <f t="shared" si="124"/>
        <v>0</v>
      </c>
      <c r="AR152" s="967"/>
      <c r="AS152" s="628"/>
      <c r="AT152" s="967"/>
      <c r="AU152" s="632">
        <f t="shared" si="128"/>
        <v>0</v>
      </c>
      <c r="AV152" s="967">
        <v>24030465.199999999</v>
      </c>
      <c r="AW152" s="628"/>
      <c r="AX152" s="967"/>
      <c r="AY152" s="629">
        <f t="shared" si="125"/>
        <v>0</v>
      </c>
      <c r="AZ152" s="967"/>
      <c r="BA152" s="628"/>
      <c r="BB152" s="967"/>
      <c r="BC152" s="629">
        <f t="shared" si="104"/>
        <v>0</v>
      </c>
      <c r="BD152" s="967"/>
      <c r="BE152" s="164"/>
      <c r="BF152" s="240"/>
      <c r="BG152" s="164"/>
      <c r="BH152" s="234">
        <f t="shared" si="120"/>
        <v>0</v>
      </c>
      <c r="BI152" s="526"/>
      <c r="BJ152" s="202"/>
      <c r="BK152" s="202"/>
      <c r="BL152" s="501">
        <f t="shared" si="121"/>
        <v>60678200</v>
      </c>
      <c r="BM152" s="158"/>
      <c r="BN152" s="1133"/>
      <c r="BO152" s="132"/>
      <c r="BQ152" s="230" t="str">
        <f>IF(BJ152&gt;0,BJ152,"")</f>
        <v/>
      </c>
    </row>
    <row r="153" spans="1:69" ht="21.75" customHeight="1" x14ac:dyDescent="0.2">
      <c r="A153" s="1150"/>
      <c r="B153" s="232" t="s">
        <v>219</v>
      </c>
      <c r="C153" s="232" t="s">
        <v>126</v>
      </c>
      <c r="D153" s="232" t="s">
        <v>12</v>
      </c>
      <c r="E153" s="232" t="s">
        <v>231</v>
      </c>
      <c r="F153" s="430" t="s">
        <v>14</v>
      </c>
      <c r="G153" s="232"/>
      <c r="H153" s="202">
        <v>9600000</v>
      </c>
      <c r="I153" s="510">
        <f t="shared" si="116"/>
        <v>9600000</v>
      </c>
      <c r="J153" s="164">
        <f t="shared" si="117"/>
        <v>0</v>
      </c>
      <c r="K153" s="164">
        <f t="shared" si="118"/>
        <v>6793825.4000000004</v>
      </c>
      <c r="L153" s="164"/>
      <c r="M153" s="240"/>
      <c r="N153" s="164"/>
      <c r="O153" s="241"/>
      <c r="P153" s="164"/>
      <c r="Q153" s="554"/>
      <c r="R153" s="164"/>
      <c r="S153" s="241"/>
      <c r="T153" s="202"/>
      <c r="U153" s="240"/>
      <c r="V153" s="164"/>
      <c r="W153" s="241">
        <f t="shared" si="126"/>
        <v>0</v>
      </c>
      <c r="X153" s="164">
        <f>3875000+270505.44</f>
        <v>4145505.44</v>
      </c>
      <c r="Y153" s="240">
        <f>3875000+270505.44</f>
        <v>4145505.44</v>
      </c>
      <c r="Z153" s="164">
        <v>4145505.44</v>
      </c>
      <c r="AA153" s="241">
        <f t="shared" si="127"/>
        <v>0</v>
      </c>
      <c r="AB153" s="164"/>
      <c r="AC153" s="240"/>
      <c r="AD153" s="164"/>
      <c r="AE153" s="241">
        <f t="shared" si="119"/>
        <v>0</v>
      </c>
      <c r="AF153" s="164">
        <f>2317717.5+330602.46</f>
        <v>2648319.96</v>
      </c>
      <c r="AG153" s="240">
        <f>2317717.5+330602.46</f>
        <v>2648319.96</v>
      </c>
      <c r="AH153" s="164">
        <v>2648319.96</v>
      </c>
      <c r="AI153" s="241">
        <f t="shared" si="122"/>
        <v>0</v>
      </c>
      <c r="AJ153" s="967"/>
      <c r="AK153" s="628"/>
      <c r="AL153" s="967"/>
      <c r="AM153" s="629">
        <f t="shared" si="123"/>
        <v>0</v>
      </c>
      <c r="AN153" s="967"/>
      <c r="AO153" s="628"/>
      <c r="AP153" s="967"/>
      <c r="AQ153" s="632">
        <f t="shared" si="124"/>
        <v>0</v>
      </c>
      <c r="AR153" s="967"/>
      <c r="AS153" s="628"/>
      <c r="AT153" s="967"/>
      <c r="AU153" s="632">
        <f t="shared" si="128"/>
        <v>0</v>
      </c>
      <c r="AV153" s="967">
        <v>2806174.6</v>
      </c>
      <c r="AW153" s="628"/>
      <c r="AX153" s="967"/>
      <c r="AY153" s="629">
        <f t="shared" ref="AY153:AY159" si="129">AX153-AW153</f>
        <v>0</v>
      </c>
      <c r="AZ153" s="967"/>
      <c r="BA153" s="628"/>
      <c r="BB153" s="967"/>
      <c r="BC153" s="629"/>
      <c r="BD153" s="967"/>
      <c r="BE153" s="164"/>
      <c r="BF153" s="240"/>
      <c r="BG153" s="164"/>
      <c r="BH153" s="234">
        <f t="shared" si="120"/>
        <v>0</v>
      </c>
      <c r="BI153" s="526"/>
      <c r="BJ153" s="202"/>
      <c r="BK153" s="202"/>
      <c r="BL153" s="501">
        <f t="shared" si="121"/>
        <v>9600000</v>
      </c>
      <c r="BM153" s="158"/>
      <c r="BN153" s="1134"/>
      <c r="BO153" s="132"/>
      <c r="BQ153" s="230"/>
    </row>
    <row r="154" spans="1:69" ht="22.5" customHeight="1" x14ac:dyDescent="0.2">
      <c r="A154" s="1129" t="s">
        <v>316</v>
      </c>
      <c r="B154" s="232" t="s">
        <v>219</v>
      </c>
      <c r="C154" s="242" t="s">
        <v>127</v>
      </c>
      <c r="D154" s="232" t="s">
        <v>328</v>
      </c>
      <c r="E154" s="232" t="s">
        <v>231</v>
      </c>
      <c r="F154" s="430" t="s">
        <v>14</v>
      </c>
      <c r="G154" s="232"/>
      <c r="H154" s="524"/>
      <c r="I154" s="510">
        <f t="shared" si="116"/>
        <v>0</v>
      </c>
      <c r="J154" s="164">
        <f t="shared" si="117"/>
        <v>0</v>
      </c>
      <c r="K154" s="164">
        <f t="shared" si="118"/>
        <v>0</v>
      </c>
      <c r="L154" s="164"/>
      <c r="M154" s="240"/>
      <c r="N154" s="164"/>
      <c r="O154" s="241"/>
      <c r="P154" s="164"/>
      <c r="Q154" s="554"/>
      <c r="R154" s="164"/>
      <c r="S154" s="241"/>
      <c r="T154" s="202"/>
      <c r="U154" s="240"/>
      <c r="V154" s="164"/>
      <c r="W154" s="241">
        <f t="shared" si="126"/>
        <v>0</v>
      </c>
      <c r="X154" s="164"/>
      <c r="Y154" s="240"/>
      <c r="Z154" s="164"/>
      <c r="AA154" s="241">
        <f t="shared" si="127"/>
        <v>0</v>
      </c>
      <c r="AB154" s="164"/>
      <c r="AC154" s="240"/>
      <c r="AD154" s="164"/>
      <c r="AE154" s="241">
        <f t="shared" si="119"/>
        <v>0</v>
      </c>
      <c r="AF154" s="164"/>
      <c r="AG154" s="240"/>
      <c r="AH154" s="164"/>
      <c r="AI154" s="241">
        <f t="shared" si="122"/>
        <v>0</v>
      </c>
      <c r="AJ154" s="967"/>
      <c r="AK154" s="628"/>
      <c r="AL154" s="967"/>
      <c r="AM154" s="629">
        <f t="shared" si="123"/>
        <v>0</v>
      </c>
      <c r="AN154" s="967"/>
      <c r="AO154" s="628"/>
      <c r="AP154" s="967"/>
      <c r="AQ154" s="632">
        <f t="shared" si="124"/>
        <v>0</v>
      </c>
      <c r="AR154" s="967"/>
      <c r="AS154" s="628"/>
      <c r="AT154" s="967"/>
      <c r="AU154" s="632">
        <f t="shared" si="128"/>
        <v>0</v>
      </c>
      <c r="AV154" s="967"/>
      <c r="AW154" s="628"/>
      <c r="AX154" s="967"/>
      <c r="AY154" s="629">
        <f t="shared" si="129"/>
        <v>0</v>
      </c>
      <c r="AZ154" s="967"/>
      <c r="BA154" s="628"/>
      <c r="BB154" s="967"/>
      <c r="BC154" s="633"/>
      <c r="BD154" s="641"/>
      <c r="BE154" s="529"/>
      <c r="BF154" s="240"/>
      <c r="BG154" s="164"/>
      <c r="BH154" s="234">
        <f t="shared" si="120"/>
        <v>0</v>
      </c>
      <c r="BI154" s="526"/>
      <c r="BJ154" s="202"/>
      <c r="BK154" s="202"/>
      <c r="BL154" s="501">
        <f t="shared" si="121"/>
        <v>0</v>
      </c>
      <c r="BM154" s="158"/>
      <c r="BN154" s="1080" t="s">
        <v>529</v>
      </c>
      <c r="BO154" s="132"/>
      <c r="BQ154" s="230"/>
    </row>
    <row r="155" spans="1:69" ht="20.25" customHeight="1" x14ac:dyDescent="0.2">
      <c r="A155" s="1130"/>
      <c r="B155" s="232" t="s">
        <v>219</v>
      </c>
      <c r="C155" s="242" t="s">
        <v>127</v>
      </c>
      <c r="D155" s="232" t="s">
        <v>12</v>
      </c>
      <c r="E155" s="232" t="s">
        <v>221</v>
      </c>
      <c r="F155" s="430" t="s">
        <v>14</v>
      </c>
      <c r="G155" s="232"/>
      <c r="H155" s="202">
        <v>25181355.370000001</v>
      </c>
      <c r="I155" s="510">
        <f t="shared" si="116"/>
        <v>25181355.369999997</v>
      </c>
      <c r="J155" s="164">
        <f t="shared" si="117"/>
        <v>0</v>
      </c>
      <c r="K155" s="164">
        <f t="shared" si="118"/>
        <v>22305792.609999999</v>
      </c>
      <c r="L155" s="164"/>
      <c r="M155" s="240"/>
      <c r="N155" s="164"/>
      <c r="O155" s="241"/>
      <c r="P155" s="164"/>
      <c r="Q155" s="554"/>
      <c r="R155" s="164"/>
      <c r="S155" s="241">
        <f>R155-Q155</f>
        <v>0</v>
      </c>
      <c r="T155" s="202"/>
      <c r="U155" s="240"/>
      <c r="V155" s="164"/>
      <c r="W155" s="241">
        <f t="shared" si="126"/>
        <v>0</v>
      </c>
      <c r="X155" s="164">
        <f>10726723.2+11579069.41</f>
        <v>22305792.609999999</v>
      </c>
      <c r="Y155" s="240">
        <f>10726723.2+11579069.41</f>
        <v>22305792.609999999</v>
      </c>
      <c r="Z155" s="164">
        <v>22305792.609999999</v>
      </c>
      <c r="AA155" s="241">
        <f>Z155-Y155</f>
        <v>0</v>
      </c>
      <c r="AB155" s="164"/>
      <c r="AC155" s="240"/>
      <c r="AD155" s="164"/>
      <c r="AE155" s="241">
        <f t="shared" si="119"/>
        <v>0</v>
      </c>
      <c r="AF155" s="164"/>
      <c r="AG155" s="240"/>
      <c r="AH155" s="164"/>
      <c r="AI155" s="241">
        <f t="shared" si="122"/>
        <v>0</v>
      </c>
      <c r="AJ155" s="967"/>
      <c r="AK155" s="628"/>
      <c r="AL155" s="967"/>
      <c r="AM155" s="629">
        <f t="shared" si="123"/>
        <v>0</v>
      </c>
      <c r="AN155" s="967"/>
      <c r="AO155" s="628"/>
      <c r="AP155" s="967"/>
      <c r="AQ155" s="632">
        <f t="shared" si="124"/>
        <v>0</v>
      </c>
      <c r="AR155" s="967"/>
      <c r="AS155" s="628"/>
      <c r="AT155" s="967"/>
      <c r="AU155" s="632">
        <f t="shared" si="128"/>
        <v>0</v>
      </c>
      <c r="AV155" s="967"/>
      <c r="AW155" s="628"/>
      <c r="AX155" s="967"/>
      <c r="AY155" s="629">
        <f t="shared" si="129"/>
        <v>0</v>
      </c>
      <c r="AZ155" s="967">
        <v>2875562.76</v>
      </c>
      <c r="BA155" s="628"/>
      <c r="BB155" s="967"/>
      <c r="BC155" s="629">
        <f t="shared" si="104"/>
        <v>0</v>
      </c>
      <c r="BD155" s="967"/>
      <c r="BE155" s="164"/>
      <c r="BF155" s="240"/>
      <c r="BG155" s="164"/>
      <c r="BH155" s="234">
        <f t="shared" ref="BH155:BH163" si="130">BG155-BF155</f>
        <v>0</v>
      </c>
      <c r="BI155" s="526"/>
      <c r="BJ155" s="202"/>
      <c r="BK155" s="202"/>
      <c r="BL155" s="501">
        <f t="shared" si="121"/>
        <v>25181355.370000001</v>
      </c>
      <c r="BM155" s="158"/>
      <c r="BN155" s="1090"/>
      <c r="BO155" s="132"/>
      <c r="BQ155" s="230" t="str">
        <f>IF(BJ155&gt;0,BJ155,"")</f>
        <v/>
      </c>
    </row>
    <row r="156" spans="1:69" ht="23.25" customHeight="1" x14ac:dyDescent="0.2">
      <c r="A156" s="1130"/>
      <c r="B156" s="232" t="s">
        <v>219</v>
      </c>
      <c r="C156" s="242" t="s">
        <v>127</v>
      </c>
      <c r="D156" s="232" t="s">
        <v>12</v>
      </c>
      <c r="E156" s="232" t="s">
        <v>231</v>
      </c>
      <c r="F156" s="430" t="s">
        <v>14</v>
      </c>
      <c r="G156" s="232"/>
      <c r="H156" s="202">
        <v>940944.63</v>
      </c>
      <c r="I156" s="510">
        <f t="shared" si="116"/>
        <v>940944.63000000012</v>
      </c>
      <c r="J156" s="164">
        <f t="shared" si="117"/>
        <v>0</v>
      </c>
      <c r="K156" s="164">
        <f t="shared" si="118"/>
        <v>510990.19</v>
      </c>
      <c r="L156" s="164"/>
      <c r="M156" s="240"/>
      <c r="N156" s="164"/>
      <c r="O156" s="241"/>
      <c r="P156" s="164"/>
      <c r="Q156" s="554"/>
      <c r="R156" s="164"/>
      <c r="S156" s="241"/>
      <c r="T156" s="202"/>
      <c r="U156" s="240"/>
      <c r="V156" s="164"/>
      <c r="W156" s="241">
        <f t="shared" si="126"/>
        <v>0</v>
      </c>
      <c r="X156" s="164">
        <f>673276.8-162286.61</f>
        <v>510990.19000000006</v>
      </c>
      <c r="Y156" s="240">
        <f>673276.8-162286.61</f>
        <v>510990.19000000006</v>
      </c>
      <c r="Z156" s="164">
        <v>510990.19</v>
      </c>
      <c r="AA156" s="241">
        <f>Z156-Y156</f>
        <v>0</v>
      </c>
      <c r="AB156" s="164"/>
      <c r="AC156" s="240"/>
      <c r="AD156" s="164"/>
      <c r="AE156" s="241">
        <f t="shared" si="119"/>
        <v>0</v>
      </c>
      <c r="AF156" s="164"/>
      <c r="AG156" s="240"/>
      <c r="AH156" s="164"/>
      <c r="AI156" s="241">
        <f t="shared" si="122"/>
        <v>0</v>
      </c>
      <c r="AJ156" s="967"/>
      <c r="AK156" s="628"/>
      <c r="AL156" s="967"/>
      <c r="AM156" s="629">
        <f t="shared" ref="AM156:AM165" si="131">AL156-AK156</f>
        <v>0</v>
      </c>
      <c r="AN156" s="967"/>
      <c r="AO156" s="628"/>
      <c r="AP156" s="967"/>
      <c r="AQ156" s="632">
        <f t="shared" si="124"/>
        <v>0</v>
      </c>
      <c r="AR156" s="967"/>
      <c r="AS156" s="628"/>
      <c r="AT156" s="967"/>
      <c r="AU156" s="632">
        <f t="shared" si="128"/>
        <v>0</v>
      </c>
      <c r="AV156" s="967"/>
      <c r="AW156" s="628"/>
      <c r="AX156" s="967"/>
      <c r="AY156" s="629">
        <f t="shared" si="129"/>
        <v>0</v>
      </c>
      <c r="AZ156" s="967">
        <v>429954.44</v>
      </c>
      <c r="BA156" s="628"/>
      <c r="BB156" s="967"/>
      <c r="BC156" s="629">
        <f t="shared" si="104"/>
        <v>0</v>
      </c>
      <c r="BD156" s="967"/>
      <c r="BE156" s="164"/>
      <c r="BF156" s="240"/>
      <c r="BG156" s="164"/>
      <c r="BH156" s="234">
        <f t="shared" si="130"/>
        <v>0</v>
      </c>
      <c r="BI156" s="526"/>
      <c r="BJ156" s="202"/>
      <c r="BK156" s="202"/>
      <c r="BL156" s="501">
        <f t="shared" si="121"/>
        <v>940944.63</v>
      </c>
      <c r="BM156" s="158"/>
      <c r="BN156" s="1081"/>
      <c r="BO156" s="132"/>
      <c r="BQ156" s="230"/>
    </row>
    <row r="157" spans="1:69" ht="53.25" customHeight="1" x14ac:dyDescent="0.2">
      <c r="A157" s="1109" t="s">
        <v>341</v>
      </c>
      <c r="B157" s="232" t="s">
        <v>219</v>
      </c>
      <c r="C157" s="566" t="s">
        <v>128</v>
      </c>
      <c r="D157" s="232" t="s">
        <v>12</v>
      </c>
      <c r="E157" s="232" t="s">
        <v>221</v>
      </c>
      <c r="F157" s="430" t="s">
        <v>14</v>
      </c>
      <c r="G157" s="232"/>
      <c r="H157" s="202">
        <f>64714100+159103500</f>
        <v>223817600</v>
      </c>
      <c r="I157" s="510">
        <f t="shared" si="116"/>
        <v>223817600</v>
      </c>
      <c r="J157" s="164">
        <f t="shared" si="117"/>
        <v>0</v>
      </c>
      <c r="K157" s="164">
        <f t="shared" si="118"/>
        <v>11136518.810000001</v>
      </c>
      <c r="L157" s="164"/>
      <c r="M157" s="240"/>
      <c r="N157" s="164"/>
      <c r="O157" s="241"/>
      <c r="P157" s="164"/>
      <c r="Q157" s="554"/>
      <c r="R157" s="164"/>
      <c r="S157" s="241"/>
      <c r="T157" s="164"/>
      <c r="U157" s="240"/>
      <c r="V157" s="164"/>
      <c r="W157" s="241">
        <f>V157-U157</f>
        <v>0</v>
      </c>
      <c r="X157" s="164"/>
      <c r="Y157" s="240"/>
      <c r="Z157" s="164"/>
      <c r="AA157" s="241">
        <f>Z157-Y157</f>
        <v>0</v>
      </c>
      <c r="AB157" s="164">
        <f>80000000-68863481.19</f>
        <v>11136518.810000002</v>
      </c>
      <c r="AC157" s="240">
        <f>80000000-68863481.19</f>
        <v>11136518.810000002</v>
      </c>
      <c r="AD157" s="164">
        <v>11136518.810000001</v>
      </c>
      <c r="AE157" s="241">
        <f>AD157-AC157</f>
        <v>0</v>
      </c>
      <c r="AF157" s="164"/>
      <c r="AG157" s="240"/>
      <c r="AH157" s="164"/>
      <c r="AI157" s="241">
        <f t="shared" si="122"/>
        <v>0</v>
      </c>
      <c r="AJ157" s="164"/>
      <c r="AK157" s="240"/>
      <c r="AL157" s="164"/>
      <c r="AM157" s="241">
        <f t="shared" si="131"/>
        <v>0</v>
      </c>
      <c r="AN157" s="164">
        <v>55000000</v>
      </c>
      <c r="AO157" s="240"/>
      <c r="AP157" s="164"/>
      <c r="AQ157" s="234">
        <f t="shared" si="124"/>
        <v>0</v>
      </c>
      <c r="AR157" s="164"/>
      <c r="AS157" s="240"/>
      <c r="AT157" s="164"/>
      <c r="AU157" s="234">
        <f t="shared" si="128"/>
        <v>0</v>
      </c>
      <c r="AV157" s="164"/>
      <c r="AW157" s="240"/>
      <c r="AX157" s="164"/>
      <c r="AY157" s="241">
        <f t="shared" si="129"/>
        <v>0</v>
      </c>
      <c r="AZ157" s="164"/>
      <c r="BA157" s="240"/>
      <c r="BB157" s="164"/>
      <c r="BC157" s="556"/>
      <c r="BD157" s="164">
        <v>157681081.19</v>
      </c>
      <c r="BE157" s="164"/>
      <c r="BF157" s="240"/>
      <c r="BG157" s="164"/>
      <c r="BH157" s="234">
        <f t="shared" si="130"/>
        <v>0</v>
      </c>
      <c r="BI157" s="526"/>
      <c r="BJ157" s="202"/>
      <c r="BK157" s="202"/>
      <c r="BL157" s="501">
        <f t="shared" si="121"/>
        <v>223817600</v>
      </c>
      <c r="BM157" s="158"/>
      <c r="BN157" s="1132" t="s">
        <v>677</v>
      </c>
      <c r="BO157" s="132"/>
      <c r="BQ157" s="230"/>
    </row>
    <row r="158" spans="1:69" ht="53.25" customHeight="1" x14ac:dyDescent="0.2">
      <c r="A158" s="1150"/>
      <c r="B158" s="232" t="s">
        <v>219</v>
      </c>
      <c r="C158" s="566" t="s">
        <v>128</v>
      </c>
      <c r="D158" s="232" t="s">
        <v>12</v>
      </c>
      <c r="E158" s="232" t="s">
        <v>231</v>
      </c>
      <c r="F158" s="430" t="s">
        <v>14</v>
      </c>
      <c r="G158" s="232"/>
      <c r="H158" s="202">
        <v>5500000</v>
      </c>
      <c r="I158" s="510">
        <f t="shared" si="116"/>
        <v>5500000</v>
      </c>
      <c r="J158" s="164">
        <f t="shared" si="117"/>
        <v>0</v>
      </c>
      <c r="K158" s="164">
        <f t="shared" si="118"/>
        <v>843900</v>
      </c>
      <c r="L158" s="164"/>
      <c r="M158" s="240"/>
      <c r="N158" s="164"/>
      <c r="O158" s="241"/>
      <c r="P158" s="164"/>
      <c r="Q158" s="554"/>
      <c r="R158" s="164"/>
      <c r="S158" s="241"/>
      <c r="T158" s="164"/>
      <c r="U158" s="240"/>
      <c r="V158" s="164"/>
      <c r="W158" s="241"/>
      <c r="X158" s="164"/>
      <c r="Y158" s="240"/>
      <c r="Z158" s="164"/>
      <c r="AA158" s="241">
        <f>Z158-Y158</f>
        <v>0</v>
      </c>
      <c r="AB158" s="164">
        <f>5500000-4656100</f>
        <v>843900</v>
      </c>
      <c r="AC158" s="240">
        <f>5500000-4656100</f>
        <v>843900</v>
      </c>
      <c r="AD158" s="164">
        <v>843900</v>
      </c>
      <c r="AE158" s="241">
        <f>AD158-AC158</f>
        <v>0</v>
      </c>
      <c r="AF158" s="164"/>
      <c r="AG158" s="240"/>
      <c r="AH158" s="164"/>
      <c r="AI158" s="241">
        <f t="shared" si="122"/>
        <v>0</v>
      </c>
      <c r="AJ158" s="164"/>
      <c r="AK158" s="240"/>
      <c r="AL158" s="164"/>
      <c r="AM158" s="241">
        <f t="shared" si="131"/>
        <v>0</v>
      </c>
      <c r="AN158" s="164">
        <v>4656100</v>
      </c>
      <c r="AO158" s="240"/>
      <c r="AP158" s="164"/>
      <c r="AQ158" s="234">
        <f t="shared" si="124"/>
        <v>0</v>
      </c>
      <c r="AR158" s="164"/>
      <c r="AS158" s="240"/>
      <c r="AT158" s="164"/>
      <c r="AU158" s="234">
        <f t="shared" si="128"/>
        <v>0</v>
      </c>
      <c r="AV158" s="164"/>
      <c r="AW158" s="240"/>
      <c r="AX158" s="164"/>
      <c r="AY158" s="241">
        <f t="shared" si="129"/>
        <v>0</v>
      </c>
      <c r="AZ158" s="164"/>
      <c r="BA158" s="240"/>
      <c r="BB158" s="164"/>
      <c r="BC158" s="556"/>
      <c r="BD158" s="164"/>
      <c r="BE158" s="164"/>
      <c r="BF158" s="240"/>
      <c r="BG158" s="164"/>
      <c r="BH158" s="234">
        <f t="shared" si="130"/>
        <v>0</v>
      </c>
      <c r="BI158" s="526"/>
      <c r="BJ158" s="202"/>
      <c r="BK158" s="202"/>
      <c r="BL158" s="501">
        <f t="shared" si="121"/>
        <v>5500000</v>
      </c>
      <c r="BM158" s="158"/>
      <c r="BN158" s="1134"/>
      <c r="BO158" s="132"/>
      <c r="BQ158" s="230"/>
    </row>
    <row r="159" spans="1:69" ht="63" x14ac:dyDescent="0.2">
      <c r="A159" s="483" t="s">
        <v>129</v>
      </c>
      <c r="B159" s="232" t="s">
        <v>219</v>
      </c>
      <c r="C159" s="242" t="s">
        <v>130</v>
      </c>
      <c r="D159" s="232" t="s">
        <v>12</v>
      </c>
      <c r="E159" s="232" t="s">
        <v>221</v>
      </c>
      <c r="F159" s="430" t="s">
        <v>14</v>
      </c>
      <c r="G159" s="232"/>
      <c r="H159" s="202">
        <v>3000000</v>
      </c>
      <c r="I159" s="510">
        <f t="shared" si="116"/>
        <v>3000000</v>
      </c>
      <c r="J159" s="164">
        <f t="shared" si="117"/>
        <v>0</v>
      </c>
      <c r="K159" s="164">
        <f t="shared" si="118"/>
        <v>0</v>
      </c>
      <c r="L159" s="164"/>
      <c r="M159" s="240"/>
      <c r="N159" s="164"/>
      <c r="O159" s="241"/>
      <c r="P159" s="164"/>
      <c r="Q159" s="554"/>
      <c r="R159" s="164"/>
      <c r="S159" s="241"/>
      <c r="T159" s="164"/>
      <c r="U159" s="240"/>
      <c r="V159" s="164"/>
      <c r="W159" s="241">
        <f>V159-U159</f>
        <v>0</v>
      </c>
      <c r="X159" s="164"/>
      <c r="Y159" s="240"/>
      <c r="Z159" s="164"/>
      <c r="AA159" s="241">
        <f>Z159-Y159</f>
        <v>0</v>
      </c>
      <c r="AB159" s="164"/>
      <c r="AC159" s="240"/>
      <c r="AD159" s="164"/>
      <c r="AE159" s="241">
        <f>AD159-AC159</f>
        <v>0</v>
      </c>
      <c r="AF159" s="164"/>
      <c r="AG159" s="240"/>
      <c r="AH159" s="164"/>
      <c r="AI159" s="241">
        <f t="shared" si="122"/>
        <v>0</v>
      </c>
      <c r="AJ159" s="164"/>
      <c r="AK159" s="240"/>
      <c r="AL159" s="164"/>
      <c r="AM159" s="241">
        <f t="shared" si="131"/>
        <v>0</v>
      </c>
      <c r="AN159" s="164"/>
      <c r="AO159" s="240"/>
      <c r="AP159" s="164"/>
      <c r="AQ159" s="234">
        <f t="shared" si="102"/>
        <v>0</v>
      </c>
      <c r="AR159" s="164"/>
      <c r="AS159" s="240"/>
      <c r="AT159" s="164"/>
      <c r="AU159" s="234">
        <f t="shared" si="128"/>
        <v>0</v>
      </c>
      <c r="AV159" s="164">
        <v>3000000</v>
      </c>
      <c r="AW159" s="240"/>
      <c r="AX159" s="164"/>
      <c r="AY159" s="241">
        <f t="shared" si="129"/>
        <v>0</v>
      </c>
      <c r="AZ159" s="164"/>
      <c r="BA159" s="240"/>
      <c r="BB159" s="164"/>
      <c r="BC159" s="556">
        <f>BB159-BA159</f>
        <v>0</v>
      </c>
      <c r="BD159" s="164"/>
      <c r="BE159" s="529"/>
      <c r="BF159" s="240"/>
      <c r="BG159" s="164"/>
      <c r="BH159" s="234">
        <f t="shared" si="130"/>
        <v>0</v>
      </c>
      <c r="BI159" s="526"/>
      <c r="BJ159" s="202"/>
      <c r="BK159" s="202"/>
      <c r="BL159" s="501">
        <f t="shared" si="121"/>
        <v>3000000</v>
      </c>
      <c r="BM159" s="158"/>
      <c r="BN159" s="164"/>
      <c r="BO159" s="132"/>
      <c r="BQ159" s="230" t="str">
        <f>IF(BJ159&gt;0,BJ159,"")</f>
        <v/>
      </c>
    </row>
    <row r="160" spans="1:69" ht="19.5" customHeight="1" x14ac:dyDescent="0.2">
      <c r="A160" s="1168" t="s">
        <v>427</v>
      </c>
      <c r="B160" s="232" t="s">
        <v>219</v>
      </c>
      <c r="C160" s="567" t="s">
        <v>131</v>
      </c>
      <c r="D160" s="232" t="s">
        <v>12</v>
      </c>
      <c r="E160" s="232" t="s">
        <v>221</v>
      </c>
      <c r="F160" s="430" t="s">
        <v>14</v>
      </c>
      <c r="G160" s="202"/>
      <c r="H160" s="202">
        <f>155515000+71012763.58</f>
        <v>226527763.57999998</v>
      </c>
      <c r="I160" s="510">
        <f t="shared" ref="I160:I166" si="132">L160+P160+T160+X160+AB160+AF160+AJ160+AN160+AR160+AV160+AZ160+BD160</f>
        <v>226527763.57999998</v>
      </c>
      <c r="J160" s="164">
        <f t="shared" si="117"/>
        <v>0</v>
      </c>
      <c r="K160" s="164">
        <f t="shared" ref="K160:K166" si="133">N160+R160+V160+Z160+AD160+AH160+AL160+AP160+AT160+AX160+BB160+BG160</f>
        <v>226527763.58000001</v>
      </c>
      <c r="L160" s="164"/>
      <c r="M160" s="240"/>
      <c r="N160" s="164"/>
      <c r="O160" s="241"/>
      <c r="P160" s="164"/>
      <c r="Q160" s="554"/>
      <c r="R160" s="164"/>
      <c r="S160" s="241"/>
      <c r="T160" s="164"/>
      <c r="U160" s="240"/>
      <c r="V160" s="164"/>
      <c r="W160" s="241">
        <f t="shared" ref="W160:W166" si="134">V160-U160</f>
        <v>0</v>
      </c>
      <c r="X160" s="164">
        <f>155515000+71012763.58</f>
        <v>226527763.57999998</v>
      </c>
      <c r="Y160" s="240">
        <f>155515000+71012763.58</f>
        <v>226527763.57999998</v>
      </c>
      <c r="Z160" s="164">
        <v>226527763.58000001</v>
      </c>
      <c r="AA160" s="241">
        <f t="shared" ref="AA160:AA166" si="135">Z160-Y160+W160</f>
        <v>2.9802322387695313E-8</v>
      </c>
      <c r="AB160" s="164"/>
      <c r="AC160" s="240"/>
      <c r="AD160" s="164"/>
      <c r="AE160" s="241">
        <f>AD160-AC160</f>
        <v>0</v>
      </c>
      <c r="AF160" s="164"/>
      <c r="AG160" s="240"/>
      <c r="AH160" s="164"/>
      <c r="AI160" s="241">
        <f>AH160-AG160</f>
        <v>0</v>
      </c>
      <c r="AJ160" s="164"/>
      <c r="AK160" s="240"/>
      <c r="AL160" s="164"/>
      <c r="AM160" s="241">
        <f t="shared" si="131"/>
        <v>0</v>
      </c>
      <c r="AN160" s="164"/>
      <c r="AO160" s="240"/>
      <c r="AP160" s="164"/>
      <c r="AQ160" s="234"/>
      <c r="AR160" s="164"/>
      <c r="AS160" s="240"/>
      <c r="AT160" s="164"/>
      <c r="AU160" s="241"/>
      <c r="AV160" s="164"/>
      <c r="AW160" s="240"/>
      <c r="AX160" s="164"/>
      <c r="AY160" s="241">
        <f>AX160-AW160</f>
        <v>0</v>
      </c>
      <c r="AZ160" s="164"/>
      <c r="BA160" s="240"/>
      <c r="BB160" s="164"/>
      <c r="BC160" s="556">
        <f>BB160-BA160</f>
        <v>0</v>
      </c>
      <c r="BD160" s="164"/>
      <c r="BE160" s="164"/>
      <c r="BF160" s="240"/>
      <c r="BG160" s="164"/>
      <c r="BH160" s="234">
        <f t="shared" si="130"/>
        <v>0</v>
      </c>
      <c r="BI160" s="526"/>
      <c r="BJ160" s="202"/>
      <c r="BK160" s="202"/>
      <c r="BL160" s="501">
        <f t="shared" ref="BL160:BL166" si="136">H160+BJ160+BK160</f>
        <v>226527763.57999998</v>
      </c>
      <c r="BN160" s="1132" t="s">
        <v>659</v>
      </c>
      <c r="BO160" s="1080"/>
      <c r="BQ160" s="230" t="str">
        <f>IF(BJ160&gt;0,BJ160,"")</f>
        <v/>
      </c>
    </row>
    <row r="161" spans="1:69" ht="19.5" x14ac:dyDescent="0.2">
      <c r="A161" s="1169"/>
      <c r="B161" s="232" t="s">
        <v>219</v>
      </c>
      <c r="C161" s="567" t="s">
        <v>131</v>
      </c>
      <c r="D161" s="232" t="s">
        <v>12</v>
      </c>
      <c r="E161" s="232" t="s">
        <v>231</v>
      </c>
      <c r="F161" s="430" t="s">
        <v>14</v>
      </c>
      <c r="G161" s="202"/>
      <c r="H161" s="202">
        <f>94203500+78952777.62</f>
        <v>173156277.62</v>
      </c>
      <c r="I161" s="510">
        <f t="shared" si="132"/>
        <v>173156277.62</v>
      </c>
      <c r="J161" s="164">
        <f t="shared" si="117"/>
        <v>0</v>
      </c>
      <c r="K161" s="164">
        <f t="shared" si="133"/>
        <v>173156264.36000001</v>
      </c>
      <c r="L161" s="164"/>
      <c r="M161" s="240"/>
      <c r="N161" s="164"/>
      <c r="O161" s="241"/>
      <c r="P161" s="164"/>
      <c r="Q161" s="554"/>
      <c r="R161" s="164"/>
      <c r="S161" s="241"/>
      <c r="T161" s="164"/>
      <c r="U161" s="240"/>
      <c r="V161" s="164"/>
      <c r="W161" s="241">
        <f t="shared" si="134"/>
        <v>0</v>
      </c>
      <c r="X161" s="164">
        <f>94203500+78952777.62-13.26</f>
        <v>173156264.36000001</v>
      </c>
      <c r="Y161" s="240">
        <f>94203500+78952777.62-13.26</f>
        <v>173156264.36000001</v>
      </c>
      <c r="Z161" s="164">
        <v>173156264.36000001</v>
      </c>
      <c r="AA161" s="241">
        <f t="shared" si="135"/>
        <v>0</v>
      </c>
      <c r="AB161" s="164"/>
      <c r="AC161" s="240"/>
      <c r="AD161" s="164"/>
      <c r="AE161" s="241"/>
      <c r="AF161" s="164"/>
      <c r="AG161" s="240"/>
      <c r="AH161" s="164"/>
      <c r="AI161" s="241">
        <f>AH161-AG161</f>
        <v>0</v>
      </c>
      <c r="AJ161" s="164"/>
      <c r="AK161" s="240"/>
      <c r="AL161" s="164"/>
      <c r="AM161" s="241">
        <f t="shared" si="131"/>
        <v>0</v>
      </c>
      <c r="AN161" s="164"/>
      <c r="AO161" s="240"/>
      <c r="AP161" s="164"/>
      <c r="AQ161" s="234"/>
      <c r="AR161" s="164"/>
      <c r="AS161" s="240"/>
      <c r="AT161" s="164"/>
      <c r="AU161" s="241"/>
      <c r="AV161" s="164"/>
      <c r="AW161" s="240"/>
      <c r="AX161" s="164"/>
      <c r="AY161" s="241">
        <f>AX161-AW161</f>
        <v>0</v>
      </c>
      <c r="AZ161" s="164"/>
      <c r="BA161" s="240"/>
      <c r="BB161" s="164"/>
      <c r="BC161" s="556"/>
      <c r="BD161" s="164">
        <v>13.26</v>
      </c>
      <c r="BE161" s="164"/>
      <c r="BF161" s="240"/>
      <c r="BG161" s="164"/>
      <c r="BH161" s="234">
        <f t="shared" si="130"/>
        <v>0</v>
      </c>
      <c r="BI161" s="526"/>
      <c r="BJ161" s="202"/>
      <c r="BK161" s="202"/>
      <c r="BL161" s="501">
        <f t="shared" si="136"/>
        <v>173156277.62</v>
      </c>
      <c r="BM161" s="499"/>
      <c r="BN161" s="1133"/>
      <c r="BO161" s="1090"/>
      <c r="BQ161" s="230"/>
    </row>
    <row r="162" spans="1:69" ht="19.5" x14ac:dyDescent="0.2">
      <c r="A162" s="1169"/>
      <c r="B162" s="232" t="s">
        <v>219</v>
      </c>
      <c r="C162" s="567" t="s">
        <v>131</v>
      </c>
      <c r="D162" s="232" t="s">
        <v>222</v>
      </c>
      <c r="E162" s="232" t="s">
        <v>221</v>
      </c>
      <c r="F162" s="430" t="s">
        <v>14</v>
      </c>
      <c r="G162" s="232"/>
      <c r="H162" s="202">
        <f>100400000-71012763.58</f>
        <v>29387236.420000002</v>
      </c>
      <c r="I162" s="510">
        <f t="shared" si="132"/>
        <v>29387236.420000002</v>
      </c>
      <c r="J162" s="164">
        <f t="shared" si="117"/>
        <v>0</v>
      </c>
      <c r="K162" s="164">
        <f t="shared" si="133"/>
        <v>18962062.5</v>
      </c>
      <c r="L162" s="164"/>
      <c r="M162" s="240"/>
      <c r="N162" s="164"/>
      <c r="O162" s="241"/>
      <c r="P162" s="164"/>
      <c r="Q162" s="554"/>
      <c r="R162" s="164"/>
      <c r="S162" s="241"/>
      <c r="T162" s="164"/>
      <c r="U162" s="240"/>
      <c r="V162" s="164"/>
      <c r="W162" s="241">
        <f t="shared" si="134"/>
        <v>0</v>
      </c>
      <c r="X162" s="164">
        <f>100400000-81437937.5</f>
        <v>18962062.5</v>
      </c>
      <c r="Y162" s="240">
        <f>100400000-81437937.5</f>
        <v>18962062.5</v>
      </c>
      <c r="Z162" s="164">
        <v>18962062.5</v>
      </c>
      <c r="AA162" s="241">
        <f t="shared" si="135"/>
        <v>0</v>
      </c>
      <c r="AB162" s="164"/>
      <c r="AC162" s="240"/>
      <c r="AD162" s="164"/>
      <c r="AE162" s="241">
        <f>AD162-AC162</f>
        <v>0</v>
      </c>
      <c r="AF162" s="164"/>
      <c r="AG162" s="240"/>
      <c r="AH162" s="164"/>
      <c r="AI162" s="241">
        <f>AH162-AG162</f>
        <v>0</v>
      </c>
      <c r="AJ162" s="164">
        <v>10425173.92</v>
      </c>
      <c r="AK162" s="240">
        <v>10425173.92</v>
      </c>
      <c r="AL162" s="164"/>
      <c r="AM162" s="241">
        <f t="shared" si="131"/>
        <v>-10425173.92</v>
      </c>
      <c r="AN162" s="164"/>
      <c r="AO162" s="240"/>
      <c r="AP162" s="164"/>
      <c r="AQ162" s="234"/>
      <c r="AR162" s="164"/>
      <c r="AS162" s="240"/>
      <c r="AT162" s="164"/>
      <c r="AU162" s="241"/>
      <c r="AV162" s="164"/>
      <c r="AW162" s="240"/>
      <c r="AX162" s="164"/>
      <c r="AY162" s="241">
        <f>AX162-AW162</f>
        <v>0</v>
      </c>
      <c r="AZ162" s="164"/>
      <c r="BA162" s="240"/>
      <c r="BB162" s="164"/>
      <c r="BC162" s="556">
        <f>BB162-BA162</f>
        <v>0</v>
      </c>
      <c r="BD162" s="164"/>
      <c r="BE162" s="164"/>
      <c r="BF162" s="240"/>
      <c r="BG162" s="164"/>
      <c r="BH162" s="234">
        <f t="shared" si="130"/>
        <v>0</v>
      </c>
      <c r="BI162" s="526"/>
      <c r="BJ162" s="202"/>
      <c r="BK162" s="202"/>
      <c r="BL162" s="501">
        <f t="shared" si="136"/>
        <v>29387236.420000002</v>
      </c>
      <c r="BM162" s="245"/>
      <c r="BN162" s="1133"/>
      <c r="BO162" s="1090"/>
      <c r="BQ162" s="230" t="str">
        <f>IF(BJ162&gt;0,BJ162,"")</f>
        <v/>
      </c>
    </row>
    <row r="163" spans="1:69" ht="19.5" x14ac:dyDescent="0.2">
      <c r="A163" s="1170"/>
      <c r="B163" s="232" t="s">
        <v>219</v>
      </c>
      <c r="C163" s="567" t="s">
        <v>131</v>
      </c>
      <c r="D163" s="232" t="s">
        <v>222</v>
      </c>
      <c r="E163" s="232" t="s">
        <v>231</v>
      </c>
      <c r="F163" s="430" t="s">
        <v>14</v>
      </c>
      <c r="G163" s="202"/>
      <c r="H163" s="202">
        <f>124631500-78952777.62</f>
        <v>45678722.379999995</v>
      </c>
      <c r="I163" s="510">
        <f t="shared" si="132"/>
        <v>45678722.379999995</v>
      </c>
      <c r="J163" s="164">
        <f t="shared" si="117"/>
        <v>0</v>
      </c>
      <c r="K163" s="164">
        <f t="shared" si="133"/>
        <v>24765500</v>
      </c>
      <c r="L163" s="164"/>
      <c r="M163" s="240"/>
      <c r="N163" s="164"/>
      <c r="O163" s="241"/>
      <c r="P163" s="164"/>
      <c r="Q163" s="554"/>
      <c r="R163" s="164"/>
      <c r="S163" s="241"/>
      <c r="T163" s="164"/>
      <c r="U163" s="240"/>
      <c r="V163" s="164"/>
      <c r="W163" s="241">
        <f t="shared" si="134"/>
        <v>0</v>
      </c>
      <c r="X163" s="164">
        <f>124631500-99866000</f>
        <v>24765500</v>
      </c>
      <c r="Y163" s="240">
        <f>124631500-99866000</f>
        <v>24765500</v>
      </c>
      <c r="Z163" s="164">
        <v>24765500</v>
      </c>
      <c r="AA163" s="241">
        <f t="shared" si="135"/>
        <v>0</v>
      </c>
      <c r="AB163" s="164"/>
      <c r="AC163" s="240"/>
      <c r="AD163" s="164"/>
      <c r="AE163" s="241"/>
      <c r="AF163" s="164"/>
      <c r="AG163" s="240"/>
      <c r="AH163" s="164"/>
      <c r="AI163" s="241">
        <f>AH163-AG163</f>
        <v>0</v>
      </c>
      <c r="AJ163" s="164">
        <v>20913222.379999999</v>
      </c>
      <c r="AK163" s="240">
        <v>20913222.379999999</v>
      </c>
      <c r="AL163" s="164"/>
      <c r="AM163" s="241">
        <f t="shared" si="131"/>
        <v>-20913222.379999999</v>
      </c>
      <c r="AN163" s="164"/>
      <c r="AO163" s="240"/>
      <c r="AP163" s="164"/>
      <c r="AQ163" s="234"/>
      <c r="AR163" s="164"/>
      <c r="AS163" s="240"/>
      <c r="AT163" s="164"/>
      <c r="AU163" s="241"/>
      <c r="AV163" s="164"/>
      <c r="AW163" s="240"/>
      <c r="AX163" s="164"/>
      <c r="AY163" s="241">
        <f>AX163-AW163</f>
        <v>0</v>
      </c>
      <c r="AZ163" s="164"/>
      <c r="BA163" s="240"/>
      <c r="BB163" s="164"/>
      <c r="BC163" s="556"/>
      <c r="BD163" s="164"/>
      <c r="BE163" s="164"/>
      <c r="BF163" s="240"/>
      <c r="BG163" s="164"/>
      <c r="BH163" s="234">
        <f t="shared" si="130"/>
        <v>0</v>
      </c>
      <c r="BI163" s="526"/>
      <c r="BJ163" s="202"/>
      <c r="BK163" s="202"/>
      <c r="BL163" s="501">
        <f t="shared" si="136"/>
        <v>45678722.379999995</v>
      </c>
      <c r="BN163" s="1134"/>
      <c r="BO163" s="1081"/>
      <c r="BQ163" s="230"/>
    </row>
    <row r="164" spans="1:69" ht="23.25" customHeight="1" x14ac:dyDescent="0.2">
      <c r="A164" s="1158" t="s">
        <v>417</v>
      </c>
      <c r="B164" s="232" t="s">
        <v>219</v>
      </c>
      <c r="C164" s="567" t="s">
        <v>418</v>
      </c>
      <c r="D164" s="232" t="s">
        <v>328</v>
      </c>
      <c r="E164" s="232" t="s">
        <v>231</v>
      </c>
      <c r="F164" s="430" t="s">
        <v>14</v>
      </c>
      <c r="G164" s="202"/>
      <c r="H164" s="202">
        <v>2935500</v>
      </c>
      <c r="I164" s="510">
        <f>L164+P164+T164+X164+AB164+AF164+AJ164+AN164+AR164+AV164+AZ164+BD164</f>
        <v>2935500</v>
      </c>
      <c r="J164" s="164">
        <f t="shared" si="117"/>
        <v>0</v>
      </c>
      <c r="K164" s="164">
        <f t="shared" si="133"/>
        <v>0</v>
      </c>
      <c r="L164" s="164"/>
      <c r="M164" s="240"/>
      <c r="N164" s="164"/>
      <c r="O164" s="241"/>
      <c r="P164" s="164"/>
      <c r="Q164" s="554"/>
      <c r="R164" s="164"/>
      <c r="S164" s="241"/>
      <c r="T164" s="164"/>
      <c r="U164" s="240"/>
      <c r="V164" s="164"/>
      <c r="W164" s="241">
        <f t="shared" si="134"/>
        <v>0</v>
      </c>
      <c r="X164" s="164"/>
      <c r="Y164" s="240"/>
      <c r="Z164" s="164"/>
      <c r="AA164" s="241">
        <f t="shared" si="135"/>
        <v>0</v>
      </c>
      <c r="AB164" s="164"/>
      <c r="AC164" s="240"/>
      <c r="AD164" s="164"/>
      <c r="AE164" s="241"/>
      <c r="AF164" s="164"/>
      <c r="AG164" s="240"/>
      <c r="AH164" s="164"/>
      <c r="AI164" s="241"/>
      <c r="AJ164" s="164"/>
      <c r="AK164" s="240"/>
      <c r="AL164" s="164"/>
      <c r="AM164" s="241">
        <f t="shared" si="131"/>
        <v>0</v>
      </c>
      <c r="AN164" s="164"/>
      <c r="AO164" s="240"/>
      <c r="AP164" s="164"/>
      <c r="AQ164" s="234"/>
      <c r="AR164" s="164"/>
      <c r="AS164" s="240"/>
      <c r="AT164" s="164"/>
      <c r="AU164" s="241"/>
      <c r="AV164" s="164">
        <v>2935500</v>
      </c>
      <c r="AW164" s="240"/>
      <c r="AX164" s="164"/>
      <c r="AY164" s="241"/>
      <c r="AZ164" s="164"/>
      <c r="BA164" s="240"/>
      <c r="BB164" s="164"/>
      <c r="BC164" s="556"/>
      <c r="BD164" s="164"/>
      <c r="BE164" s="164"/>
      <c r="BF164" s="240"/>
      <c r="BG164" s="164"/>
      <c r="BH164" s="234"/>
      <c r="BI164" s="526"/>
      <c r="BJ164" s="202"/>
      <c r="BK164" s="202"/>
      <c r="BL164" s="501">
        <f t="shared" si="136"/>
        <v>2935500</v>
      </c>
      <c r="BN164" s="164"/>
      <c r="BO164" s="132"/>
      <c r="BQ164" s="230"/>
    </row>
    <row r="165" spans="1:69" ht="23.25" customHeight="1" x14ac:dyDescent="0.2">
      <c r="A165" s="1159"/>
      <c r="B165" s="232" t="s">
        <v>219</v>
      </c>
      <c r="C165" s="567" t="s">
        <v>418</v>
      </c>
      <c r="D165" s="232" t="s">
        <v>12</v>
      </c>
      <c r="E165" s="232" t="s">
        <v>221</v>
      </c>
      <c r="F165" s="430" t="s">
        <v>14</v>
      </c>
      <c r="G165" s="202"/>
      <c r="H165" s="202">
        <v>169045700</v>
      </c>
      <c r="I165" s="510">
        <f t="shared" si="132"/>
        <v>169045700</v>
      </c>
      <c r="J165" s="164">
        <f t="shared" si="117"/>
        <v>0</v>
      </c>
      <c r="K165" s="164">
        <f t="shared" si="133"/>
        <v>0</v>
      </c>
      <c r="L165" s="164"/>
      <c r="M165" s="240"/>
      <c r="N165" s="164"/>
      <c r="O165" s="241"/>
      <c r="P165" s="164"/>
      <c r="Q165" s="554"/>
      <c r="R165" s="164"/>
      <c r="S165" s="241"/>
      <c r="T165" s="164"/>
      <c r="U165" s="240"/>
      <c r="V165" s="164"/>
      <c r="W165" s="241">
        <f t="shared" si="134"/>
        <v>0</v>
      </c>
      <c r="X165" s="164"/>
      <c r="Y165" s="240"/>
      <c r="Z165" s="164"/>
      <c r="AA165" s="241">
        <f t="shared" si="135"/>
        <v>0</v>
      </c>
      <c r="AB165" s="164"/>
      <c r="AC165" s="240"/>
      <c r="AD165" s="164"/>
      <c r="AE165" s="241"/>
      <c r="AF165" s="164"/>
      <c r="AG165" s="240"/>
      <c r="AH165" s="164"/>
      <c r="AI165" s="241"/>
      <c r="AJ165" s="164"/>
      <c r="AK165" s="240"/>
      <c r="AL165" s="164"/>
      <c r="AM165" s="241">
        <f t="shared" si="131"/>
        <v>0</v>
      </c>
      <c r="AN165" s="164"/>
      <c r="AO165" s="240"/>
      <c r="AP165" s="164"/>
      <c r="AQ165" s="234"/>
      <c r="AR165" s="164"/>
      <c r="AS165" s="240"/>
      <c r="AT165" s="164"/>
      <c r="AU165" s="234"/>
      <c r="AV165" s="164">
        <v>169045700</v>
      </c>
      <c r="AW165" s="240"/>
      <c r="AX165" s="164"/>
      <c r="AY165" s="241"/>
      <c r="AZ165" s="164"/>
      <c r="BA165" s="240"/>
      <c r="BB165" s="164"/>
      <c r="BC165" s="556"/>
      <c r="BD165" s="164"/>
      <c r="BE165" s="529"/>
      <c r="BF165" s="240"/>
      <c r="BG165" s="164"/>
      <c r="BH165" s="234"/>
      <c r="BI165" s="526"/>
      <c r="BJ165" s="202"/>
      <c r="BK165" s="202"/>
      <c r="BL165" s="501">
        <f t="shared" si="136"/>
        <v>169045700</v>
      </c>
      <c r="BM165" s="158"/>
      <c r="BN165" s="164"/>
      <c r="BO165" s="132"/>
      <c r="BQ165" s="230"/>
    </row>
    <row r="166" spans="1:69" ht="23.25" customHeight="1" x14ac:dyDescent="0.2">
      <c r="A166" s="1160"/>
      <c r="B166" s="232" t="s">
        <v>219</v>
      </c>
      <c r="C166" s="567" t="s">
        <v>418</v>
      </c>
      <c r="D166" s="232" t="s">
        <v>12</v>
      </c>
      <c r="E166" s="232" t="s">
        <v>231</v>
      </c>
      <c r="F166" s="430" t="s">
        <v>14</v>
      </c>
      <c r="G166" s="202"/>
      <c r="H166" s="202">
        <v>37700000</v>
      </c>
      <c r="I166" s="510">
        <f t="shared" si="132"/>
        <v>37700000</v>
      </c>
      <c r="J166" s="164">
        <f t="shared" si="117"/>
        <v>0</v>
      </c>
      <c r="K166" s="164">
        <f t="shared" si="133"/>
        <v>0</v>
      </c>
      <c r="L166" s="164"/>
      <c r="M166" s="240"/>
      <c r="N166" s="164"/>
      <c r="O166" s="241"/>
      <c r="P166" s="164"/>
      <c r="Q166" s="554"/>
      <c r="R166" s="164"/>
      <c r="S166" s="241"/>
      <c r="T166" s="164"/>
      <c r="U166" s="240"/>
      <c r="V166" s="164"/>
      <c r="W166" s="241">
        <f t="shared" si="134"/>
        <v>0</v>
      </c>
      <c r="X166" s="164"/>
      <c r="Y166" s="240"/>
      <c r="Z166" s="164"/>
      <c r="AA166" s="241">
        <f t="shared" si="135"/>
        <v>0</v>
      </c>
      <c r="AB166" s="164"/>
      <c r="AC166" s="240"/>
      <c r="AD166" s="164"/>
      <c r="AE166" s="241"/>
      <c r="AF166" s="164"/>
      <c r="AG166" s="240"/>
      <c r="AH166" s="164"/>
      <c r="AI166" s="241"/>
      <c r="AJ166" s="164"/>
      <c r="AK166" s="240"/>
      <c r="AL166" s="164"/>
      <c r="AM166" s="241"/>
      <c r="AN166" s="164"/>
      <c r="AO166" s="240"/>
      <c r="AP166" s="164"/>
      <c r="AQ166" s="234"/>
      <c r="AR166" s="164"/>
      <c r="AS166" s="240"/>
      <c r="AT166" s="164"/>
      <c r="AU166" s="234"/>
      <c r="AV166" s="164">
        <v>37700000</v>
      </c>
      <c r="AW166" s="240"/>
      <c r="AX166" s="164"/>
      <c r="AY166" s="241"/>
      <c r="AZ166" s="164"/>
      <c r="BA166" s="240"/>
      <c r="BB166" s="164"/>
      <c r="BC166" s="556"/>
      <c r="BD166" s="164"/>
      <c r="BE166" s="529"/>
      <c r="BF166" s="240"/>
      <c r="BG166" s="164"/>
      <c r="BH166" s="234"/>
      <c r="BI166" s="526"/>
      <c r="BJ166" s="202"/>
      <c r="BK166" s="202"/>
      <c r="BL166" s="501">
        <f t="shared" si="136"/>
        <v>37700000</v>
      </c>
      <c r="BM166" s="158"/>
      <c r="BN166" s="164"/>
      <c r="BO166" s="132"/>
      <c r="BQ166" s="230"/>
    </row>
    <row r="167" spans="1:69" s="689" customFormat="1" ht="37.5" customHeight="1" x14ac:dyDescent="0.2">
      <c r="A167" s="1153" t="s">
        <v>239</v>
      </c>
      <c r="B167" s="1154"/>
      <c r="C167" s="1155"/>
      <c r="D167" s="687"/>
      <c r="E167" s="687"/>
      <c r="F167" s="688" t="s">
        <v>14</v>
      </c>
      <c r="G167" s="687"/>
      <c r="H167" s="660">
        <f>SUMIF($F$169:$F$174,"=31",H169:H174)</f>
        <v>10947200</v>
      </c>
      <c r="I167" s="660">
        <f>SUMIF($F$169:$F$174,"=31",I169:I174)</f>
        <v>10947200</v>
      </c>
      <c r="J167" s="660">
        <f>SUMIF($F$169:$F$174,"=31",J169:J174)</f>
        <v>0</v>
      </c>
      <c r="K167" s="660">
        <f t="shared" ref="K167:BE167" si="137">SUMIF($F$169:$F$174,"=31",K169:K174)</f>
        <v>0</v>
      </c>
      <c r="L167" s="660">
        <f t="shared" si="137"/>
        <v>0</v>
      </c>
      <c r="M167" s="660">
        <f t="shared" si="137"/>
        <v>0</v>
      </c>
      <c r="N167" s="660">
        <f t="shared" si="137"/>
        <v>0</v>
      </c>
      <c r="O167" s="660">
        <f t="shared" si="137"/>
        <v>0</v>
      </c>
      <c r="P167" s="660">
        <f t="shared" si="137"/>
        <v>0</v>
      </c>
      <c r="Q167" s="660">
        <f t="shared" si="137"/>
        <v>0</v>
      </c>
      <c r="R167" s="660">
        <f t="shared" si="137"/>
        <v>0</v>
      </c>
      <c r="S167" s="660">
        <f t="shared" si="137"/>
        <v>0</v>
      </c>
      <c r="T167" s="660">
        <f t="shared" si="137"/>
        <v>0</v>
      </c>
      <c r="U167" s="660">
        <f t="shared" si="137"/>
        <v>0</v>
      </c>
      <c r="V167" s="660">
        <f t="shared" si="137"/>
        <v>0</v>
      </c>
      <c r="W167" s="660">
        <f t="shared" si="137"/>
        <v>0</v>
      </c>
      <c r="X167" s="660">
        <f t="shared" si="137"/>
        <v>0</v>
      </c>
      <c r="Y167" s="660">
        <f t="shared" si="137"/>
        <v>0</v>
      </c>
      <c r="Z167" s="660">
        <f t="shared" si="137"/>
        <v>0</v>
      </c>
      <c r="AA167" s="660">
        <f t="shared" si="137"/>
        <v>0</v>
      </c>
      <c r="AB167" s="660">
        <f t="shared" si="137"/>
        <v>0</v>
      </c>
      <c r="AC167" s="660">
        <f t="shared" si="137"/>
        <v>0</v>
      </c>
      <c r="AD167" s="660">
        <f t="shared" si="137"/>
        <v>0</v>
      </c>
      <c r="AE167" s="660">
        <f t="shared" si="137"/>
        <v>0</v>
      </c>
      <c r="AF167" s="660">
        <f t="shared" si="137"/>
        <v>0</v>
      </c>
      <c r="AG167" s="660">
        <f t="shared" si="137"/>
        <v>0</v>
      </c>
      <c r="AH167" s="660">
        <f t="shared" si="137"/>
        <v>0</v>
      </c>
      <c r="AI167" s="660">
        <f t="shared" si="137"/>
        <v>0</v>
      </c>
      <c r="AJ167" s="660">
        <f t="shared" si="137"/>
        <v>0</v>
      </c>
      <c r="AK167" s="660">
        <f t="shared" si="137"/>
        <v>0</v>
      </c>
      <c r="AL167" s="660">
        <f t="shared" si="137"/>
        <v>0</v>
      </c>
      <c r="AM167" s="660">
        <f t="shared" si="137"/>
        <v>0</v>
      </c>
      <c r="AN167" s="660">
        <f t="shared" si="137"/>
        <v>0</v>
      </c>
      <c r="AO167" s="660">
        <f t="shared" si="137"/>
        <v>0</v>
      </c>
      <c r="AP167" s="660">
        <f t="shared" si="137"/>
        <v>0</v>
      </c>
      <c r="AQ167" s="660">
        <f t="shared" si="137"/>
        <v>0</v>
      </c>
      <c r="AR167" s="660">
        <f t="shared" si="137"/>
        <v>0</v>
      </c>
      <c r="AS167" s="660">
        <f t="shared" si="137"/>
        <v>0</v>
      </c>
      <c r="AT167" s="660">
        <f t="shared" si="137"/>
        <v>0</v>
      </c>
      <c r="AU167" s="660">
        <f t="shared" si="137"/>
        <v>0</v>
      </c>
      <c r="AV167" s="660">
        <f t="shared" si="137"/>
        <v>0</v>
      </c>
      <c r="AW167" s="660">
        <f t="shared" si="137"/>
        <v>0</v>
      </c>
      <c r="AX167" s="660">
        <f t="shared" si="137"/>
        <v>0</v>
      </c>
      <c r="AY167" s="660">
        <f t="shared" si="137"/>
        <v>0</v>
      </c>
      <c r="AZ167" s="660">
        <f t="shared" si="137"/>
        <v>10947200</v>
      </c>
      <c r="BA167" s="660">
        <f t="shared" si="137"/>
        <v>0</v>
      </c>
      <c r="BB167" s="660">
        <f t="shared" si="137"/>
        <v>0</v>
      </c>
      <c r="BC167" s="660">
        <f t="shared" si="137"/>
        <v>0</v>
      </c>
      <c r="BD167" s="660">
        <f t="shared" si="137"/>
        <v>0</v>
      </c>
      <c r="BE167" s="660">
        <f t="shared" si="137"/>
        <v>0</v>
      </c>
      <c r="BF167" s="660">
        <f>SUMIF($F$169:$F$174,"=31",BF169:BF174)</f>
        <v>0</v>
      </c>
      <c r="BG167" s="660">
        <f>SUMIF($F$169:$F$174,"=31",BG169:BG174)</f>
        <v>0</v>
      </c>
      <c r="BH167" s="660">
        <f>SUMIF($F$169:$F$174,"=31",BH169:BH174)</f>
        <v>0</v>
      </c>
      <c r="BI167" s="660"/>
      <c r="BJ167" s="660">
        <f>SUMIF($F$169:$F$174,"=31",BJ169:BJ174)</f>
        <v>0</v>
      </c>
      <c r="BK167" s="660">
        <f>SUMIF($F$169:$F$174,"=31",BK169:BK174)</f>
        <v>0</v>
      </c>
      <c r="BL167" s="660">
        <f>SUMIF($F$169:$F$174,"=31",BL169:BL174)</f>
        <v>2576200</v>
      </c>
      <c r="BM167" s="770">
        <f>SUMIF($F$169:$F$174,"=31",BM169:BM174)</f>
        <v>0</v>
      </c>
      <c r="BN167" s="646"/>
      <c r="BO167" s="687"/>
      <c r="BQ167" s="652"/>
    </row>
    <row r="168" spans="1:69" s="692" customFormat="1" ht="37.5" customHeight="1" x14ac:dyDescent="0.2">
      <c r="A168" s="1106" t="s">
        <v>240</v>
      </c>
      <c r="B168" s="1107"/>
      <c r="C168" s="1108"/>
      <c r="D168" s="690"/>
      <c r="E168" s="690"/>
      <c r="F168" s="691" t="s">
        <v>16</v>
      </c>
      <c r="G168" s="690"/>
      <c r="H168" s="655">
        <f>SUMIF($F$169:$F$174,"=32",H169:H174)</f>
        <v>26801800</v>
      </c>
      <c r="I168" s="655">
        <f>SUMIF($F$169:$F$174,"=32",I169:I174)</f>
        <v>26801800</v>
      </c>
      <c r="J168" s="655">
        <f>SUMIF($F$169:$F$174,"=32",J169:J174)</f>
        <v>0</v>
      </c>
      <c r="K168" s="655">
        <f t="shared" ref="K168:BE168" si="138">SUMIF($F$169:$F$174,"=32",K169:K174)</f>
        <v>0</v>
      </c>
      <c r="L168" s="655">
        <f t="shared" si="138"/>
        <v>0</v>
      </c>
      <c r="M168" s="655">
        <f t="shared" si="138"/>
        <v>0</v>
      </c>
      <c r="N168" s="655">
        <f t="shared" si="138"/>
        <v>0</v>
      </c>
      <c r="O168" s="655">
        <f t="shared" si="138"/>
        <v>0</v>
      </c>
      <c r="P168" s="655">
        <f t="shared" si="138"/>
        <v>0</v>
      </c>
      <c r="Q168" s="655">
        <f t="shared" si="138"/>
        <v>0</v>
      </c>
      <c r="R168" s="655">
        <f t="shared" si="138"/>
        <v>0</v>
      </c>
      <c r="S168" s="655">
        <f t="shared" si="138"/>
        <v>0</v>
      </c>
      <c r="T168" s="655">
        <f t="shared" si="138"/>
        <v>0</v>
      </c>
      <c r="U168" s="655">
        <f t="shared" si="138"/>
        <v>0</v>
      </c>
      <c r="V168" s="655">
        <f t="shared" si="138"/>
        <v>0</v>
      </c>
      <c r="W168" s="655">
        <f t="shared" si="138"/>
        <v>0</v>
      </c>
      <c r="X168" s="655">
        <f t="shared" si="138"/>
        <v>0</v>
      </c>
      <c r="Y168" s="655">
        <f t="shared" si="138"/>
        <v>0</v>
      </c>
      <c r="Z168" s="655">
        <f t="shared" si="138"/>
        <v>0</v>
      </c>
      <c r="AA168" s="655">
        <f t="shared" si="138"/>
        <v>0</v>
      </c>
      <c r="AB168" s="655">
        <f t="shared" si="138"/>
        <v>0</v>
      </c>
      <c r="AC168" s="655">
        <f t="shared" si="138"/>
        <v>0</v>
      </c>
      <c r="AD168" s="655">
        <f t="shared" si="138"/>
        <v>0</v>
      </c>
      <c r="AE168" s="655">
        <f t="shared" si="138"/>
        <v>0</v>
      </c>
      <c r="AF168" s="655">
        <f t="shared" si="138"/>
        <v>0</v>
      </c>
      <c r="AG168" s="655">
        <f t="shared" si="138"/>
        <v>0</v>
      </c>
      <c r="AH168" s="655">
        <f t="shared" si="138"/>
        <v>0</v>
      </c>
      <c r="AI168" s="655">
        <f t="shared" si="138"/>
        <v>0</v>
      </c>
      <c r="AJ168" s="655">
        <f t="shared" si="138"/>
        <v>0</v>
      </c>
      <c r="AK168" s="655">
        <f t="shared" si="138"/>
        <v>0</v>
      </c>
      <c r="AL168" s="655">
        <f t="shared" si="138"/>
        <v>0</v>
      </c>
      <c r="AM168" s="655">
        <f t="shared" si="138"/>
        <v>0</v>
      </c>
      <c r="AN168" s="655">
        <f t="shared" si="138"/>
        <v>0</v>
      </c>
      <c r="AO168" s="655">
        <f t="shared" si="138"/>
        <v>0</v>
      </c>
      <c r="AP168" s="655">
        <f t="shared" si="138"/>
        <v>0</v>
      </c>
      <c r="AQ168" s="655">
        <f t="shared" si="138"/>
        <v>0</v>
      </c>
      <c r="AR168" s="655">
        <f t="shared" si="138"/>
        <v>0</v>
      </c>
      <c r="AS168" s="655">
        <f t="shared" si="138"/>
        <v>0</v>
      </c>
      <c r="AT168" s="655">
        <f t="shared" si="138"/>
        <v>0</v>
      </c>
      <c r="AU168" s="655">
        <f t="shared" si="138"/>
        <v>0</v>
      </c>
      <c r="AV168" s="655">
        <f t="shared" si="138"/>
        <v>0</v>
      </c>
      <c r="AW168" s="655">
        <f t="shared" si="138"/>
        <v>0</v>
      </c>
      <c r="AX168" s="655">
        <f t="shared" si="138"/>
        <v>0</v>
      </c>
      <c r="AY168" s="655">
        <f t="shared" si="138"/>
        <v>0</v>
      </c>
      <c r="AZ168" s="655">
        <f t="shared" si="138"/>
        <v>26801800</v>
      </c>
      <c r="BA168" s="655">
        <f t="shared" si="138"/>
        <v>0</v>
      </c>
      <c r="BB168" s="655">
        <f t="shared" si="138"/>
        <v>0</v>
      </c>
      <c r="BC168" s="655">
        <f t="shared" si="138"/>
        <v>0</v>
      </c>
      <c r="BD168" s="655">
        <f t="shared" si="138"/>
        <v>0</v>
      </c>
      <c r="BE168" s="655">
        <f t="shared" si="138"/>
        <v>0</v>
      </c>
      <c r="BF168" s="671">
        <f>BF174</f>
        <v>0</v>
      </c>
      <c r="BG168" s="671"/>
      <c r="BH168" s="671">
        <f>BH174</f>
        <v>0</v>
      </c>
      <c r="BI168" s="671"/>
      <c r="BJ168" s="671">
        <f>BJ174</f>
        <v>0</v>
      </c>
      <c r="BK168" s="671">
        <f>BK174</f>
        <v>0</v>
      </c>
      <c r="BL168" s="671">
        <f>BL174</f>
        <v>6307200</v>
      </c>
      <c r="BM168" s="774">
        <f>BM174</f>
        <v>0</v>
      </c>
      <c r="BN168" s="646"/>
      <c r="BO168" s="690"/>
      <c r="BQ168" s="652" t="str">
        <f>IF(BJ168&gt;0,BJ168,"")</f>
        <v/>
      </c>
    </row>
    <row r="169" spans="1:69" ht="29.25" customHeight="1" x14ac:dyDescent="0.2">
      <c r="A169" s="1147" t="s">
        <v>411</v>
      </c>
      <c r="B169" s="232" t="s">
        <v>219</v>
      </c>
      <c r="C169" s="242" t="s">
        <v>422</v>
      </c>
      <c r="D169" s="232" t="s">
        <v>12</v>
      </c>
      <c r="E169" s="232" t="s">
        <v>221</v>
      </c>
      <c r="F169" s="430" t="s">
        <v>14</v>
      </c>
      <c r="G169" s="242" t="s">
        <v>447</v>
      </c>
      <c r="H169" s="202">
        <v>8371000</v>
      </c>
      <c r="I169" s="510">
        <f t="shared" ref="I169:I174" si="139">L169+P169+T169+X169+AB169+AF169+AJ169+AN169+AR169+AV169+AZ169+BD169</f>
        <v>8371000</v>
      </c>
      <c r="J169" s="164">
        <f t="shared" ref="J169:J174" si="140">H169-I169</f>
        <v>0</v>
      </c>
      <c r="K169" s="164">
        <f t="shared" ref="K169:K174" si="141">N169+R169+V169+Z169+AD169+AH169+AL169+AP169+AT169+AX169+BB169+BG169</f>
        <v>0</v>
      </c>
      <c r="L169" s="164"/>
      <c r="M169" s="240"/>
      <c r="N169" s="164"/>
      <c r="O169" s="241"/>
      <c r="P169" s="164"/>
      <c r="Q169" s="554"/>
      <c r="R169" s="164"/>
      <c r="S169" s="241"/>
      <c r="T169" s="164"/>
      <c r="U169" s="240"/>
      <c r="V169" s="164"/>
      <c r="W169" s="241"/>
      <c r="X169" s="559"/>
      <c r="Y169" s="240"/>
      <c r="Z169" s="164"/>
      <c r="AA169" s="241"/>
      <c r="AB169" s="164"/>
      <c r="AC169" s="240"/>
      <c r="AD169" s="164"/>
      <c r="AE169" s="241"/>
      <c r="AF169" s="164"/>
      <c r="AG169" s="240"/>
      <c r="AH169" s="164"/>
      <c r="AI169" s="241"/>
      <c r="AJ169" s="164"/>
      <c r="AK169" s="240"/>
      <c r="AL169" s="559"/>
      <c r="AM169" s="241"/>
      <c r="AN169" s="164"/>
      <c r="AO169" s="240"/>
      <c r="AP169" s="164"/>
      <c r="AQ169" s="234"/>
      <c r="AR169" s="164"/>
      <c r="AS169" s="240"/>
      <c r="AT169" s="164"/>
      <c r="AU169" s="241"/>
      <c r="AV169" s="164"/>
      <c r="AW169" s="240"/>
      <c r="AX169" s="164"/>
      <c r="AY169" s="241"/>
      <c r="AZ169" s="164">
        <v>8371000</v>
      </c>
      <c r="BA169" s="240"/>
      <c r="BB169" s="164"/>
      <c r="BC169" s="556"/>
      <c r="BD169" s="164"/>
      <c r="BE169" s="264"/>
      <c r="BF169" s="243"/>
      <c r="BG169" s="164"/>
      <c r="BH169" s="234"/>
      <c r="BI169" s="246"/>
      <c r="BJ169" s="202"/>
      <c r="BK169" s="202"/>
      <c r="BL169" s="501"/>
      <c r="BM169" s="158"/>
      <c r="BN169" s="164"/>
      <c r="BO169" s="132"/>
      <c r="BQ169" s="230"/>
    </row>
    <row r="170" spans="1:69" ht="29.25" customHeight="1" x14ac:dyDescent="0.2">
      <c r="A170" s="1148"/>
      <c r="B170" s="232" t="s">
        <v>428</v>
      </c>
      <c r="C170" s="242" t="s">
        <v>422</v>
      </c>
      <c r="D170" s="232" t="s">
        <v>12</v>
      </c>
      <c r="E170" s="232" t="s">
        <v>231</v>
      </c>
      <c r="F170" s="430" t="s">
        <v>14</v>
      </c>
      <c r="G170" s="242" t="s">
        <v>447</v>
      </c>
      <c r="H170" s="202"/>
      <c r="I170" s="510">
        <f t="shared" si="139"/>
        <v>0</v>
      </c>
      <c r="J170" s="164">
        <f t="shared" si="140"/>
        <v>0</v>
      </c>
      <c r="K170" s="164">
        <f t="shared" si="141"/>
        <v>0</v>
      </c>
      <c r="L170" s="164"/>
      <c r="M170" s="240"/>
      <c r="N170" s="164"/>
      <c r="O170" s="241"/>
      <c r="P170" s="164"/>
      <c r="Q170" s="554"/>
      <c r="R170" s="164"/>
      <c r="S170" s="241"/>
      <c r="T170" s="164"/>
      <c r="U170" s="240"/>
      <c r="V170" s="164"/>
      <c r="W170" s="241"/>
      <c r="X170" s="559"/>
      <c r="Y170" s="240"/>
      <c r="Z170" s="164"/>
      <c r="AA170" s="241"/>
      <c r="AB170" s="164"/>
      <c r="AC170" s="240"/>
      <c r="AD170" s="164"/>
      <c r="AE170" s="241"/>
      <c r="AF170" s="164"/>
      <c r="AG170" s="240"/>
      <c r="AH170" s="164"/>
      <c r="AI170" s="241"/>
      <c r="AJ170" s="164"/>
      <c r="AK170" s="240"/>
      <c r="AL170" s="559"/>
      <c r="AM170" s="241"/>
      <c r="AN170" s="164"/>
      <c r="AO170" s="240"/>
      <c r="AP170" s="164"/>
      <c r="AQ170" s="234"/>
      <c r="AR170" s="164"/>
      <c r="AS170" s="240"/>
      <c r="AT170" s="164"/>
      <c r="AU170" s="241"/>
      <c r="AV170" s="164"/>
      <c r="AW170" s="240"/>
      <c r="AX170" s="164"/>
      <c r="AY170" s="241"/>
      <c r="AZ170" s="164"/>
      <c r="BA170" s="240"/>
      <c r="BB170" s="164"/>
      <c r="BC170" s="556"/>
      <c r="BD170" s="164"/>
      <c r="BE170" s="264"/>
      <c r="BF170" s="243"/>
      <c r="BG170" s="164"/>
      <c r="BH170" s="234"/>
      <c r="BI170" s="246"/>
      <c r="BJ170" s="202"/>
      <c r="BK170" s="202"/>
      <c r="BL170" s="501"/>
      <c r="BM170" s="158"/>
      <c r="BN170" s="164"/>
      <c r="BO170" s="132"/>
      <c r="BQ170" s="230"/>
    </row>
    <row r="171" spans="1:69" ht="29.25" customHeight="1" x14ac:dyDescent="0.2">
      <c r="A171" s="1148"/>
      <c r="B171" s="533" t="s">
        <v>429</v>
      </c>
      <c r="C171" s="536" t="s">
        <v>422</v>
      </c>
      <c r="D171" s="533" t="s">
        <v>12</v>
      </c>
      <c r="E171" s="533" t="s">
        <v>221</v>
      </c>
      <c r="F171" s="535" t="s">
        <v>16</v>
      </c>
      <c r="G171" s="536" t="s">
        <v>447</v>
      </c>
      <c r="H171" s="537">
        <v>20494600</v>
      </c>
      <c r="I171" s="510">
        <f t="shared" si="139"/>
        <v>20494600</v>
      </c>
      <c r="J171" s="164">
        <f t="shared" si="140"/>
        <v>0</v>
      </c>
      <c r="K171" s="164">
        <f t="shared" si="141"/>
        <v>0</v>
      </c>
      <c r="L171" s="164"/>
      <c r="M171" s="240"/>
      <c r="N171" s="164"/>
      <c r="O171" s="241"/>
      <c r="P171" s="164"/>
      <c r="Q171" s="554"/>
      <c r="R171" s="164"/>
      <c r="S171" s="241"/>
      <c r="T171" s="164"/>
      <c r="U171" s="240"/>
      <c r="V171" s="164"/>
      <c r="W171" s="241"/>
      <c r="X171" s="559"/>
      <c r="Y171" s="240"/>
      <c r="Z171" s="164"/>
      <c r="AA171" s="241"/>
      <c r="AB171" s="164"/>
      <c r="AC171" s="240"/>
      <c r="AD171" s="164"/>
      <c r="AE171" s="241"/>
      <c r="AF171" s="164"/>
      <c r="AG171" s="240"/>
      <c r="AH171" s="164"/>
      <c r="AI171" s="241"/>
      <c r="AJ171" s="164"/>
      <c r="AK171" s="240"/>
      <c r="AL171" s="559"/>
      <c r="AM171" s="241"/>
      <c r="AN171" s="164"/>
      <c r="AO171" s="240"/>
      <c r="AP171" s="164"/>
      <c r="AQ171" s="234"/>
      <c r="AR171" s="164"/>
      <c r="AS171" s="240"/>
      <c r="AT171" s="164"/>
      <c r="AU171" s="241"/>
      <c r="AV171" s="164"/>
      <c r="AW171" s="240"/>
      <c r="AX171" s="164"/>
      <c r="AY171" s="241"/>
      <c r="AZ171" s="164">
        <v>20494600</v>
      </c>
      <c r="BA171" s="240"/>
      <c r="BB171" s="164"/>
      <c r="BC171" s="556"/>
      <c r="BD171" s="164"/>
      <c r="BE171" s="264"/>
      <c r="BF171" s="243"/>
      <c r="BG171" s="164"/>
      <c r="BH171" s="234"/>
      <c r="BI171" s="246"/>
      <c r="BJ171" s="202"/>
      <c r="BK171" s="202"/>
      <c r="BL171" s="501"/>
      <c r="BM171" s="158"/>
      <c r="BN171" s="164"/>
      <c r="BO171" s="132"/>
      <c r="BQ171" s="230"/>
    </row>
    <row r="172" spans="1:69" ht="29.25" customHeight="1" x14ac:dyDescent="0.2">
      <c r="A172" s="1149"/>
      <c r="B172" s="533" t="s">
        <v>219</v>
      </c>
      <c r="C172" s="533" t="s">
        <v>422</v>
      </c>
      <c r="D172" s="533" t="s">
        <v>12</v>
      </c>
      <c r="E172" s="533" t="s">
        <v>231</v>
      </c>
      <c r="F172" s="535" t="s">
        <v>16</v>
      </c>
      <c r="G172" s="536" t="s">
        <v>447</v>
      </c>
      <c r="H172" s="537"/>
      <c r="I172" s="518">
        <f t="shared" si="139"/>
        <v>0</v>
      </c>
      <c r="J172" s="164">
        <f t="shared" si="140"/>
        <v>0</v>
      </c>
      <c r="K172" s="164">
        <f t="shared" si="141"/>
        <v>0</v>
      </c>
      <c r="L172" s="164"/>
      <c r="M172" s="240"/>
      <c r="N172" s="164"/>
      <c r="O172" s="241"/>
      <c r="P172" s="164"/>
      <c r="Q172" s="554"/>
      <c r="R172" s="164"/>
      <c r="S172" s="241"/>
      <c r="T172" s="164"/>
      <c r="U172" s="240"/>
      <c r="V172" s="164"/>
      <c r="W172" s="241"/>
      <c r="X172" s="559"/>
      <c r="Y172" s="240"/>
      <c r="Z172" s="164"/>
      <c r="AA172" s="241"/>
      <c r="AB172" s="164"/>
      <c r="AC172" s="240"/>
      <c r="AD172" s="164"/>
      <c r="AE172" s="241"/>
      <c r="AF172" s="164"/>
      <c r="AG172" s="240"/>
      <c r="AH172" s="164"/>
      <c r="AI172" s="241"/>
      <c r="AJ172" s="164"/>
      <c r="AK172" s="240"/>
      <c r="AL172" s="559"/>
      <c r="AM172" s="241"/>
      <c r="AN172" s="164"/>
      <c r="AO172" s="240"/>
      <c r="AP172" s="164"/>
      <c r="AQ172" s="234"/>
      <c r="AR172" s="164"/>
      <c r="AS172" s="240"/>
      <c r="AT172" s="164"/>
      <c r="AU172" s="241"/>
      <c r="AV172" s="164"/>
      <c r="AW172" s="240"/>
      <c r="AX172" s="164"/>
      <c r="AY172" s="241"/>
      <c r="AZ172" s="164"/>
      <c r="BA172" s="240"/>
      <c r="BB172" s="164"/>
      <c r="BC172" s="556"/>
      <c r="BD172" s="164"/>
      <c r="BE172" s="264"/>
      <c r="BF172" s="243"/>
      <c r="BG172" s="164"/>
      <c r="BH172" s="234"/>
      <c r="BI172" s="246"/>
      <c r="BJ172" s="202"/>
      <c r="BK172" s="202"/>
      <c r="BL172" s="501"/>
      <c r="BM172" s="158"/>
      <c r="BN172" s="164"/>
      <c r="BO172" s="132"/>
      <c r="BQ172" s="230"/>
    </row>
    <row r="173" spans="1:69" ht="28.5" customHeight="1" x14ac:dyDescent="0.2">
      <c r="A173" s="1147" t="s">
        <v>461</v>
      </c>
      <c r="B173" s="232" t="s">
        <v>219</v>
      </c>
      <c r="C173" s="242" t="s">
        <v>421</v>
      </c>
      <c r="D173" s="232" t="s">
        <v>12</v>
      </c>
      <c r="E173" s="232" t="s">
        <v>231</v>
      </c>
      <c r="F173" s="430" t="s">
        <v>14</v>
      </c>
      <c r="G173" s="242" t="s">
        <v>447</v>
      </c>
      <c r="H173" s="202">
        <v>2576200</v>
      </c>
      <c r="I173" s="510">
        <f t="shared" si="139"/>
        <v>2576200</v>
      </c>
      <c r="J173" s="164">
        <f t="shared" si="140"/>
        <v>0</v>
      </c>
      <c r="K173" s="164">
        <f t="shared" si="141"/>
        <v>0</v>
      </c>
      <c r="L173" s="164"/>
      <c r="M173" s="240"/>
      <c r="N173" s="164"/>
      <c r="O173" s="241"/>
      <c r="P173" s="164"/>
      <c r="Q173" s="554"/>
      <c r="R173" s="164"/>
      <c r="S173" s="241"/>
      <c r="T173" s="202"/>
      <c r="U173" s="240"/>
      <c r="V173" s="164"/>
      <c r="W173" s="241"/>
      <c r="X173" s="202"/>
      <c r="Y173" s="240"/>
      <c r="Z173" s="164"/>
      <c r="AA173" s="241"/>
      <c r="AB173" s="164"/>
      <c r="AC173" s="240"/>
      <c r="AD173" s="164"/>
      <c r="AE173" s="241"/>
      <c r="AF173" s="164"/>
      <c r="AG173" s="240"/>
      <c r="AH173" s="164"/>
      <c r="AI173" s="241"/>
      <c r="AJ173" s="164"/>
      <c r="AK173" s="240"/>
      <c r="AL173" s="559"/>
      <c r="AM173" s="241"/>
      <c r="AN173" s="164"/>
      <c r="AO173" s="240"/>
      <c r="AP173" s="164"/>
      <c r="AQ173" s="234">
        <f>AP173-AO173</f>
        <v>0</v>
      </c>
      <c r="AR173" s="164"/>
      <c r="AS173" s="240"/>
      <c r="AT173" s="164"/>
      <c r="AU173" s="241">
        <f>AT173-AS173</f>
        <v>0</v>
      </c>
      <c r="AV173" s="164"/>
      <c r="AW173" s="240"/>
      <c r="AX173" s="164"/>
      <c r="AY173" s="241">
        <f>AX173-AW173</f>
        <v>0</v>
      </c>
      <c r="AZ173" s="164">
        <v>2576200</v>
      </c>
      <c r="BA173" s="240"/>
      <c r="BB173" s="164"/>
      <c r="BC173" s="556">
        <f>BB173-BA173</f>
        <v>0</v>
      </c>
      <c r="BD173" s="164"/>
      <c r="BE173" s="264"/>
      <c r="BF173" s="243"/>
      <c r="BG173" s="164"/>
      <c r="BH173" s="241"/>
      <c r="BI173" s="246"/>
      <c r="BJ173" s="202"/>
      <c r="BK173" s="202"/>
      <c r="BL173" s="501">
        <f>H173+BJ173+BK173</f>
        <v>2576200</v>
      </c>
      <c r="BM173" s="158"/>
      <c r="BN173" s="164"/>
      <c r="BO173" s="132"/>
      <c r="BQ173" s="230" t="str">
        <f>IF(BJ173&gt;0,BJ173,"")</f>
        <v/>
      </c>
    </row>
    <row r="174" spans="1:69" ht="33" customHeight="1" x14ac:dyDescent="0.2">
      <c r="A174" s="1149"/>
      <c r="B174" s="533" t="s">
        <v>219</v>
      </c>
      <c r="C174" s="533" t="s">
        <v>421</v>
      </c>
      <c r="D174" s="533" t="s">
        <v>12</v>
      </c>
      <c r="E174" s="533" t="s">
        <v>231</v>
      </c>
      <c r="F174" s="535" t="s">
        <v>16</v>
      </c>
      <c r="G174" s="536" t="s">
        <v>447</v>
      </c>
      <c r="H174" s="537">
        <v>6307200</v>
      </c>
      <c r="I174" s="518">
        <f t="shared" si="139"/>
        <v>6307200</v>
      </c>
      <c r="J174" s="164">
        <f t="shared" si="140"/>
        <v>0</v>
      </c>
      <c r="K174" s="164">
        <f t="shared" si="141"/>
        <v>0</v>
      </c>
      <c r="L174" s="164"/>
      <c r="M174" s="240"/>
      <c r="N174" s="164"/>
      <c r="O174" s="241"/>
      <c r="P174" s="164"/>
      <c r="Q174" s="554"/>
      <c r="R174" s="164"/>
      <c r="S174" s="241"/>
      <c r="T174" s="202"/>
      <c r="U174" s="240"/>
      <c r="V174" s="164"/>
      <c r="W174" s="241"/>
      <c r="X174" s="202"/>
      <c r="Y174" s="240"/>
      <c r="Z174" s="164"/>
      <c r="AA174" s="241"/>
      <c r="AB174" s="164"/>
      <c r="AC174" s="240"/>
      <c r="AD174" s="164"/>
      <c r="AE174" s="241"/>
      <c r="AF174" s="164"/>
      <c r="AG174" s="240"/>
      <c r="AH174" s="164"/>
      <c r="AI174" s="241"/>
      <c r="AJ174" s="164"/>
      <c r="AK174" s="240"/>
      <c r="AL174" s="559"/>
      <c r="AM174" s="241"/>
      <c r="AN174" s="164"/>
      <c r="AO174" s="240"/>
      <c r="AP174" s="164"/>
      <c r="AQ174" s="234">
        <f>AP174-AO174</f>
        <v>0</v>
      </c>
      <c r="AR174" s="164"/>
      <c r="AS174" s="240"/>
      <c r="AT174" s="164"/>
      <c r="AU174" s="241">
        <f>AT174-AS174</f>
        <v>0</v>
      </c>
      <c r="AV174" s="164"/>
      <c r="AW174" s="240"/>
      <c r="AX174" s="164"/>
      <c r="AY174" s="241">
        <f>AX174-AW174</f>
        <v>0</v>
      </c>
      <c r="AZ174" s="164">
        <v>6307200</v>
      </c>
      <c r="BA174" s="240"/>
      <c r="BB174" s="164"/>
      <c r="BC174" s="556"/>
      <c r="BD174" s="164"/>
      <c r="BE174" s="264"/>
      <c r="BF174" s="243"/>
      <c r="BG174" s="164"/>
      <c r="BH174" s="241"/>
      <c r="BI174" s="246"/>
      <c r="BJ174" s="202"/>
      <c r="BK174" s="202"/>
      <c r="BL174" s="501">
        <f>H174+BJ174+BK174</f>
        <v>6307200</v>
      </c>
      <c r="BM174" s="158"/>
      <c r="BN174" s="164"/>
      <c r="BO174" s="132"/>
      <c r="BQ174" s="230" t="str">
        <f>IF(BJ174&gt;0,BJ174,"")</f>
        <v/>
      </c>
    </row>
    <row r="175" spans="1:69" s="689" customFormat="1" ht="38.25" customHeight="1" x14ac:dyDescent="0.2">
      <c r="A175" s="1096" t="s">
        <v>444</v>
      </c>
      <c r="B175" s="1097" t="s">
        <v>241</v>
      </c>
      <c r="C175" s="1098" t="s">
        <v>242</v>
      </c>
      <c r="D175" s="693"/>
      <c r="E175" s="693"/>
      <c r="F175" s="688" t="s">
        <v>14</v>
      </c>
      <c r="G175" s="693"/>
      <c r="H175" s="676">
        <f>SUMIF($F$177:$F$186,"=31",H177:H186)</f>
        <v>90832500</v>
      </c>
      <c r="I175" s="676">
        <f>SUMIF($F$177:$F$186,"=31",I177:I186)</f>
        <v>90832500</v>
      </c>
      <c r="J175" s="676">
        <f>SUMIF($F$177:$F$186,"=31",J177:J186)</f>
        <v>0</v>
      </c>
      <c r="K175" s="676">
        <f t="shared" ref="K175:BD175" si="142">SUMIF($F$177:$F$186,"=31",K177:K186)</f>
        <v>26004091.260000002</v>
      </c>
      <c r="L175" s="676">
        <f t="shared" si="142"/>
        <v>0</v>
      </c>
      <c r="M175" s="676">
        <f t="shared" si="142"/>
        <v>0</v>
      </c>
      <c r="N175" s="676">
        <f t="shared" si="142"/>
        <v>0</v>
      </c>
      <c r="O175" s="676">
        <f t="shared" si="142"/>
        <v>0</v>
      </c>
      <c r="P175" s="676">
        <f t="shared" si="142"/>
        <v>0</v>
      </c>
      <c r="Q175" s="676">
        <f t="shared" si="142"/>
        <v>0</v>
      </c>
      <c r="R175" s="676">
        <f t="shared" si="142"/>
        <v>0</v>
      </c>
      <c r="S175" s="676">
        <f t="shared" si="142"/>
        <v>0</v>
      </c>
      <c r="T175" s="676">
        <f t="shared" si="142"/>
        <v>12299538.539999999</v>
      </c>
      <c r="U175" s="676">
        <f t="shared" si="142"/>
        <v>12299538.539999999</v>
      </c>
      <c r="V175" s="676">
        <f t="shared" si="142"/>
        <v>12299538.539999999</v>
      </c>
      <c r="W175" s="676">
        <f t="shared" si="142"/>
        <v>0</v>
      </c>
      <c r="X175" s="676">
        <f t="shared" si="142"/>
        <v>6191817.3799999999</v>
      </c>
      <c r="Y175" s="676">
        <f t="shared" si="142"/>
        <v>6191817.3799999999</v>
      </c>
      <c r="Z175" s="676">
        <f t="shared" si="142"/>
        <v>6191817.3799999999</v>
      </c>
      <c r="AA175" s="676">
        <f t="shared" si="142"/>
        <v>0</v>
      </c>
      <c r="AB175" s="676">
        <f t="shared" si="142"/>
        <v>0</v>
      </c>
      <c r="AC175" s="676">
        <f t="shared" si="142"/>
        <v>0</v>
      </c>
      <c r="AD175" s="676">
        <f t="shared" si="142"/>
        <v>0</v>
      </c>
      <c r="AE175" s="676">
        <f t="shared" si="142"/>
        <v>0</v>
      </c>
      <c r="AF175" s="676">
        <f t="shared" si="142"/>
        <v>7512735.3399999999</v>
      </c>
      <c r="AG175" s="676">
        <f t="shared" si="142"/>
        <v>7512735.3399999999</v>
      </c>
      <c r="AH175" s="676">
        <f t="shared" si="142"/>
        <v>7512735.3399999989</v>
      </c>
      <c r="AI175" s="676">
        <f t="shared" si="142"/>
        <v>0</v>
      </c>
      <c r="AJ175" s="676">
        <f t="shared" si="142"/>
        <v>9735000</v>
      </c>
      <c r="AK175" s="676">
        <f t="shared" si="142"/>
        <v>9735000</v>
      </c>
      <c r="AL175" s="676">
        <f t="shared" si="142"/>
        <v>0</v>
      </c>
      <c r="AM175" s="676">
        <f t="shared" si="142"/>
        <v>-9735000</v>
      </c>
      <c r="AN175" s="676">
        <f t="shared" si="142"/>
        <v>7000000</v>
      </c>
      <c r="AO175" s="676">
        <f t="shared" si="142"/>
        <v>0</v>
      </c>
      <c r="AP175" s="676">
        <f t="shared" si="142"/>
        <v>0</v>
      </c>
      <c r="AQ175" s="676">
        <f t="shared" si="142"/>
        <v>-9735000</v>
      </c>
      <c r="AR175" s="676">
        <f t="shared" si="142"/>
        <v>9000000</v>
      </c>
      <c r="AS175" s="676">
        <f t="shared" si="142"/>
        <v>0</v>
      </c>
      <c r="AT175" s="676">
        <f t="shared" si="142"/>
        <v>0</v>
      </c>
      <c r="AU175" s="676">
        <f t="shared" si="142"/>
        <v>0</v>
      </c>
      <c r="AV175" s="676">
        <f t="shared" si="142"/>
        <v>11505300</v>
      </c>
      <c r="AW175" s="676">
        <f t="shared" si="142"/>
        <v>0</v>
      </c>
      <c r="AX175" s="676">
        <f t="shared" si="142"/>
        <v>0</v>
      </c>
      <c r="AY175" s="676">
        <f t="shared" si="142"/>
        <v>0</v>
      </c>
      <c r="AZ175" s="676">
        <f t="shared" si="142"/>
        <v>11005000</v>
      </c>
      <c r="BA175" s="676">
        <f t="shared" si="142"/>
        <v>0</v>
      </c>
      <c r="BB175" s="676">
        <f t="shared" si="142"/>
        <v>0</v>
      </c>
      <c r="BC175" s="676">
        <f t="shared" si="142"/>
        <v>0</v>
      </c>
      <c r="BD175" s="676">
        <f t="shared" si="142"/>
        <v>16583108.739999998</v>
      </c>
      <c r="BE175" s="676">
        <f>SUM(BE177:BE186)</f>
        <v>0</v>
      </c>
      <c r="BF175" s="676">
        <f>SUM(BF177:BF186)</f>
        <v>0</v>
      </c>
      <c r="BG175" s="676">
        <f>SUM(BG177:BG186)</f>
        <v>0</v>
      </c>
      <c r="BH175" s="676">
        <f>SUM(BH177:BH186)</f>
        <v>0</v>
      </c>
      <c r="BI175" s="694"/>
      <c r="BJ175" s="676">
        <f>SUM(BJ177:BJ186)</f>
        <v>0</v>
      </c>
      <c r="BK175" s="676">
        <f>SUM(BK177:BK186)</f>
        <v>0</v>
      </c>
      <c r="BL175" s="676">
        <f>SUM(BL177:BL186)</f>
        <v>233585500</v>
      </c>
      <c r="BM175" s="773">
        <f>SUM(BM177:BM186)</f>
        <v>0</v>
      </c>
      <c r="BN175" s="694"/>
      <c r="BO175" s="687"/>
      <c r="BQ175" s="679"/>
    </row>
    <row r="176" spans="1:69" s="689" customFormat="1" ht="42.75" customHeight="1" x14ac:dyDescent="0.2">
      <c r="A176" s="1151" t="s">
        <v>445</v>
      </c>
      <c r="B176" s="1152"/>
      <c r="C176" s="1152"/>
      <c r="D176" s="693"/>
      <c r="E176" s="693"/>
      <c r="F176" s="688" t="s">
        <v>63</v>
      </c>
      <c r="G176" s="693"/>
      <c r="H176" s="666">
        <f>SUMIF($F$177:$F$186,"=01",H177:H186)</f>
        <v>143753000</v>
      </c>
      <c r="I176" s="666">
        <f t="shared" ref="I176:BD176" si="143">SUMIF($F$177:$F$186,"=01",I177:I186)</f>
        <v>143753000</v>
      </c>
      <c r="J176" s="666">
        <f t="shared" si="143"/>
        <v>0</v>
      </c>
      <c r="K176" s="666">
        <f t="shared" si="143"/>
        <v>95464717.5</v>
      </c>
      <c r="L176" s="666">
        <f t="shared" si="143"/>
        <v>0</v>
      </c>
      <c r="M176" s="666">
        <f t="shared" si="143"/>
        <v>0</v>
      </c>
      <c r="N176" s="666">
        <f t="shared" si="143"/>
        <v>0</v>
      </c>
      <c r="O176" s="666">
        <f t="shared" si="143"/>
        <v>0</v>
      </c>
      <c r="P176" s="666">
        <f t="shared" si="143"/>
        <v>23643942</v>
      </c>
      <c r="Q176" s="666">
        <f t="shared" si="143"/>
        <v>23643942</v>
      </c>
      <c r="R176" s="666">
        <f t="shared" si="143"/>
        <v>23643942</v>
      </c>
      <c r="S176" s="666">
        <f t="shared" si="143"/>
        <v>0</v>
      </c>
      <c r="T176" s="666">
        <f t="shared" si="143"/>
        <v>24543111</v>
      </c>
      <c r="U176" s="666">
        <f t="shared" si="143"/>
        <v>24543111</v>
      </c>
      <c r="V176" s="666">
        <f t="shared" si="143"/>
        <v>24543111</v>
      </c>
      <c r="W176" s="666">
        <f t="shared" si="143"/>
        <v>0</v>
      </c>
      <c r="X176" s="666">
        <f t="shared" si="143"/>
        <v>23651847</v>
      </c>
      <c r="Y176" s="666">
        <f t="shared" si="143"/>
        <v>23651847</v>
      </c>
      <c r="Z176" s="666">
        <f t="shared" si="143"/>
        <v>23651847</v>
      </c>
      <c r="AA176" s="666">
        <f t="shared" si="143"/>
        <v>0</v>
      </c>
      <c r="AB176" s="666">
        <f t="shared" si="143"/>
        <v>12559716</v>
      </c>
      <c r="AC176" s="666">
        <f t="shared" si="143"/>
        <v>12559716</v>
      </c>
      <c r="AD176" s="666">
        <f t="shared" si="143"/>
        <v>12559716</v>
      </c>
      <c r="AE176" s="666">
        <f t="shared" si="143"/>
        <v>0</v>
      </c>
      <c r="AF176" s="666">
        <f t="shared" si="143"/>
        <v>10566101.5</v>
      </c>
      <c r="AG176" s="666">
        <f t="shared" si="143"/>
        <v>10566101.5</v>
      </c>
      <c r="AH176" s="666">
        <f t="shared" si="143"/>
        <v>11066101.5</v>
      </c>
      <c r="AI176" s="666">
        <f t="shared" si="143"/>
        <v>500000</v>
      </c>
      <c r="AJ176" s="666">
        <f t="shared" si="143"/>
        <v>10550000</v>
      </c>
      <c r="AK176" s="666">
        <f t="shared" si="143"/>
        <v>10550000</v>
      </c>
      <c r="AL176" s="666">
        <f t="shared" si="143"/>
        <v>0</v>
      </c>
      <c r="AM176" s="666">
        <f t="shared" si="143"/>
        <v>-10050000</v>
      </c>
      <c r="AN176" s="666">
        <f t="shared" si="143"/>
        <v>10727100</v>
      </c>
      <c r="AO176" s="666">
        <f t="shared" si="143"/>
        <v>0</v>
      </c>
      <c r="AP176" s="666">
        <f t="shared" si="143"/>
        <v>0</v>
      </c>
      <c r="AQ176" s="666">
        <f t="shared" si="143"/>
        <v>-10050000</v>
      </c>
      <c r="AR176" s="666">
        <f t="shared" si="143"/>
        <v>10100000</v>
      </c>
      <c r="AS176" s="666">
        <f t="shared" si="143"/>
        <v>0</v>
      </c>
      <c r="AT176" s="666">
        <f t="shared" si="143"/>
        <v>0</v>
      </c>
      <c r="AU176" s="666">
        <f t="shared" si="143"/>
        <v>0</v>
      </c>
      <c r="AV176" s="666">
        <f t="shared" si="143"/>
        <v>700000</v>
      </c>
      <c r="AW176" s="666">
        <f t="shared" si="143"/>
        <v>0</v>
      </c>
      <c r="AX176" s="666">
        <f t="shared" si="143"/>
        <v>0</v>
      </c>
      <c r="AY176" s="666">
        <f t="shared" si="143"/>
        <v>0</v>
      </c>
      <c r="AZ176" s="666">
        <f t="shared" si="143"/>
        <v>628489</v>
      </c>
      <c r="BA176" s="666">
        <f t="shared" si="143"/>
        <v>0</v>
      </c>
      <c r="BB176" s="666">
        <f t="shared" si="143"/>
        <v>0</v>
      </c>
      <c r="BC176" s="666">
        <f t="shared" si="143"/>
        <v>0</v>
      </c>
      <c r="BD176" s="666">
        <f t="shared" si="143"/>
        <v>16082693.5</v>
      </c>
      <c r="BE176" s="666">
        <f>SUMIF($F$177:$F$186,"=01",BE177:BE186)</f>
        <v>0</v>
      </c>
      <c r="BF176" s="677"/>
      <c r="BG176" s="676"/>
      <c r="BH176" s="676"/>
      <c r="BI176" s="646"/>
      <c r="BJ176" s="676"/>
      <c r="BK176" s="676"/>
      <c r="BL176" s="676"/>
      <c r="BM176" s="695"/>
      <c r="BN176" s="646"/>
      <c r="BO176" s="687"/>
      <c r="BQ176" s="652"/>
    </row>
    <row r="177" spans="1:69" ht="141.75" x14ac:dyDescent="0.2">
      <c r="A177" s="247" t="s">
        <v>243</v>
      </c>
      <c r="B177" s="232" t="s">
        <v>219</v>
      </c>
      <c r="C177" s="242" t="s">
        <v>134</v>
      </c>
      <c r="D177" s="232" t="s">
        <v>220</v>
      </c>
      <c r="E177" s="232" t="s">
        <v>244</v>
      </c>
      <c r="F177" s="430" t="s">
        <v>63</v>
      </c>
      <c r="G177" s="232"/>
      <c r="H177" s="625">
        <v>1409400</v>
      </c>
      <c r="I177" s="626">
        <f t="shared" ref="I177:I185" si="144">L177+P177+T177+X177+AB177+AF177+AJ177+AN177+AR177+AV177+AZ177+BD177</f>
        <v>1409400</v>
      </c>
      <c r="J177" s="625">
        <f t="shared" ref="J177:J185" si="145">H177-I177</f>
        <v>0</v>
      </c>
      <c r="K177" s="627">
        <f t="shared" ref="K177:K185" si="146">N177+R177+V177+Z177+AD177+AH177+AL177+AP177+AT177+AX177+BB177+BG177</f>
        <v>0</v>
      </c>
      <c r="L177" s="627"/>
      <c r="M177" s="628"/>
      <c r="N177" s="627"/>
      <c r="O177" s="629"/>
      <c r="P177" s="627"/>
      <c r="Q177" s="630"/>
      <c r="R177" s="627"/>
      <c r="S177" s="629">
        <f t="shared" ref="S177:S182" si="147">R177-Q177</f>
        <v>0</v>
      </c>
      <c r="T177" s="627"/>
      <c r="U177" s="628"/>
      <c r="V177" s="627"/>
      <c r="W177" s="629">
        <f>V177-U177</f>
        <v>0</v>
      </c>
      <c r="X177" s="627"/>
      <c r="Y177" s="628"/>
      <c r="Z177" s="627"/>
      <c r="AA177" s="629">
        <f t="shared" ref="AA177:AA185" si="148">Z177-Y177</f>
        <v>0</v>
      </c>
      <c r="AB177" s="627"/>
      <c r="AC177" s="628"/>
      <c r="AD177" s="631"/>
      <c r="AE177" s="629">
        <f t="shared" ref="AE177:AE185" si="149">AD177-AC177</f>
        <v>0</v>
      </c>
      <c r="AF177" s="627"/>
      <c r="AG177" s="628"/>
      <c r="AH177" s="627"/>
      <c r="AI177" s="629">
        <f t="shared" ref="AI177:AI185" si="150">AH177-AG177</f>
        <v>0</v>
      </c>
      <c r="AJ177" s="627"/>
      <c r="AK177" s="628"/>
      <c r="AL177" s="627"/>
      <c r="AM177" s="629"/>
      <c r="AN177" s="627">
        <v>227100</v>
      </c>
      <c r="AO177" s="628"/>
      <c r="AP177" s="627"/>
      <c r="AQ177" s="632"/>
      <c r="AR177" s="631"/>
      <c r="AS177" s="628"/>
      <c r="AT177" s="627"/>
      <c r="AU177" s="629">
        <f t="shared" ref="AU177:AU185" si="151">AT177-AS177</f>
        <v>0</v>
      </c>
      <c r="AV177" s="627"/>
      <c r="AW177" s="628"/>
      <c r="AX177" s="627"/>
      <c r="AY177" s="629">
        <f t="shared" ref="AY177:AY185" si="152">AX177-AW177</f>
        <v>0</v>
      </c>
      <c r="AZ177" s="627">
        <v>450000</v>
      </c>
      <c r="BA177" s="628"/>
      <c r="BB177" s="627"/>
      <c r="BC177" s="633">
        <f t="shared" ref="BC177:BC183" si="153">BB177-BA177</f>
        <v>0</v>
      </c>
      <c r="BD177" s="627">
        <v>732300</v>
      </c>
      <c r="BE177" s="634"/>
      <c r="BF177" s="243"/>
      <c r="BG177" s="164"/>
      <c r="BH177" s="241">
        <f>BG177-BF177</f>
        <v>0</v>
      </c>
      <c r="BI177" s="251" t="s">
        <v>385</v>
      </c>
      <c r="BJ177" s="202"/>
      <c r="BK177" s="202"/>
      <c r="BL177" s="501">
        <f t="shared" ref="BL177:BL185" si="154">H177+BJ177+BK177</f>
        <v>1409400</v>
      </c>
      <c r="BM177" s="158"/>
      <c r="BN177" s="783"/>
      <c r="BO177" s="132"/>
      <c r="BQ177" s="230" t="str">
        <f>IF(BJ177&gt;0,BJ177,"")</f>
        <v/>
      </c>
    </row>
    <row r="178" spans="1:69" ht="31.5" x14ac:dyDescent="0.2">
      <c r="A178" s="122" t="s">
        <v>304</v>
      </c>
      <c r="B178" s="232" t="s">
        <v>245</v>
      </c>
      <c r="C178" s="232" t="s">
        <v>135</v>
      </c>
      <c r="D178" s="232" t="s">
        <v>246</v>
      </c>
      <c r="E178" s="232" t="s">
        <v>247</v>
      </c>
      <c r="F178" s="430" t="s">
        <v>63</v>
      </c>
      <c r="G178" s="232"/>
      <c r="H178" s="625">
        <v>140000000</v>
      </c>
      <c r="I178" s="626">
        <f t="shared" si="144"/>
        <v>140000000</v>
      </c>
      <c r="J178" s="625">
        <f t="shared" si="145"/>
        <v>0</v>
      </c>
      <c r="K178" s="627">
        <f t="shared" si="146"/>
        <v>95000000</v>
      </c>
      <c r="L178" s="627"/>
      <c r="M178" s="628"/>
      <c r="N178" s="627"/>
      <c r="O178" s="629"/>
      <c r="P178" s="627">
        <f>10000000+13500000</f>
        <v>23500000</v>
      </c>
      <c r="Q178" s="630">
        <f>10000000+13500000</f>
        <v>23500000</v>
      </c>
      <c r="R178" s="627">
        <v>23500000</v>
      </c>
      <c r="S178" s="629">
        <f t="shared" si="147"/>
        <v>0</v>
      </c>
      <c r="T178" s="627">
        <f>20000000+4500000</f>
        <v>24500000</v>
      </c>
      <c r="U178" s="628">
        <f>20000000+4500000</f>
        <v>24500000</v>
      </c>
      <c r="V178" s="627">
        <v>24500000</v>
      </c>
      <c r="W178" s="629">
        <f>V178-U178</f>
        <v>0</v>
      </c>
      <c r="X178" s="627">
        <f>20000000+4000000-500000</f>
        <v>23500000</v>
      </c>
      <c r="Y178" s="628">
        <f>20000000+4000000-500000</f>
        <v>23500000</v>
      </c>
      <c r="Z178" s="627">
        <f>24000000-500000</f>
        <v>23500000</v>
      </c>
      <c r="AA178" s="629">
        <f t="shared" si="148"/>
        <v>0</v>
      </c>
      <c r="AB178" s="627">
        <v>12500000</v>
      </c>
      <c r="AC178" s="628">
        <v>12500000</v>
      </c>
      <c r="AD178" s="627">
        <v>12500000</v>
      </c>
      <c r="AE178" s="629">
        <f t="shared" si="149"/>
        <v>0</v>
      </c>
      <c r="AF178" s="627">
        <f>12500000-2000000</f>
        <v>10500000</v>
      </c>
      <c r="AG178" s="628">
        <f>12500000-2000000</f>
        <v>10500000</v>
      </c>
      <c r="AH178" s="978">
        <v>11000000</v>
      </c>
      <c r="AI178" s="629">
        <f t="shared" si="150"/>
        <v>500000</v>
      </c>
      <c r="AJ178" s="627">
        <v>10500000</v>
      </c>
      <c r="AK178" s="628">
        <v>10500000</v>
      </c>
      <c r="AL178" s="627"/>
      <c r="AM178" s="629">
        <f>AL178-AK178+AI178</f>
        <v>-10000000</v>
      </c>
      <c r="AN178" s="627">
        <v>10000000</v>
      </c>
      <c r="AO178" s="628"/>
      <c r="AP178" s="627"/>
      <c r="AQ178" s="632">
        <f>AP178-AO178+AM178</f>
        <v>-10000000</v>
      </c>
      <c r="AR178" s="627">
        <v>10000000</v>
      </c>
      <c r="AS178" s="628"/>
      <c r="AT178" s="627"/>
      <c r="AU178" s="629">
        <f t="shared" si="151"/>
        <v>0</v>
      </c>
      <c r="AV178" s="627"/>
      <c r="AW178" s="628"/>
      <c r="AX178" s="627"/>
      <c r="AY178" s="629">
        <f t="shared" si="152"/>
        <v>0</v>
      </c>
      <c r="AZ178" s="627"/>
      <c r="BA178" s="628"/>
      <c r="BB178" s="627"/>
      <c r="BC178" s="633">
        <f t="shared" si="153"/>
        <v>0</v>
      </c>
      <c r="BD178" s="627">
        <v>15000000</v>
      </c>
      <c r="BE178" s="627"/>
      <c r="BF178" s="240"/>
      <c r="BG178" s="164"/>
      <c r="BH178" s="241">
        <f>BG178-BF178</f>
        <v>0</v>
      </c>
      <c r="BI178" s="246"/>
      <c r="BJ178" s="202"/>
      <c r="BK178" s="202"/>
      <c r="BL178" s="501">
        <f t="shared" si="154"/>
        <v>140000000</v>
      </c>
      <c r="BM178" s="158"/>
      <c r="BN178" s="164"/>
      <c r="BO178" s="132"/>
      <c r="BQ178" s="230" t="str">
        <f>IF(BJ178&gt;0,BJ178,"")</f>
        <v/>
      </c>
    </row>
    <row r="179" spans="1:69" ht="33.75" customHeight="1" x14ac:dyDescent="0.2">
      <c r="A179" s="1129" t="s">
        <v>322</v>
      </c>
      <c r="B179" s="569" t="s">
        <v>219</v>
      </c>
      <c r="C179" s="242" t="s">
        <v>136</v>
      </c>
      <c r="D179" s="564" t="s">
        <v>328</v>
      </c>
      <c r="E179" s="232" t="s">
        <v>231</v>
      </c>
      <c r="F179" s="430" t="s">
        <v>14</v>
      </c>
      <c r="G179" s="232"/>
      <c r="H179" s="362">
        <v>3972200</v>
      </c>
      <c r="I179" s="626">
        <f t="shared" si="144"/>
        <v>3972200</v>
      </c>
      <c r="J179" s="625">
        <f t="shared" si="145"/>
        <v>0</v>
      </c>
      <c r="K179" s="627">
        <f t="shared" si="146"/>
        <v>1866696.46</v>
      </c>
      <c r="L179" s="627"/>
      <c r="M179" s="628"/>
      <c r="N179" s="627"/>
      <c r="O179" s="629"/>
      <c r="P179" s="627"/>
      <c r="Q179" s="630"/>
      <c r="R179" s="627"/>
      <c r="S179" s="629"/>
      <c r="T179" s="627">
        <v>767388.61</v>
      </c>
      <c r="U179" s="628">
        <v>767388.61</v>
      </c>
      <c r="V179" s="627">
        <v>767388.61</v>
      </c>
      <c r="W179" s="629">
        <f t="shared" ref="W179:W185" si="155">V179-U179</f>
        <v>0</v>
      </c>
      <c r="X179" s="627">
        <f>350000-40698.5</f>
        <v>309301.5</v>
      </c>
      <c r="Y179" s="628">
        <f>350000-40698.5</f>
        <v>309301.5</v>
      </c>
      <c r="Z179" s="627">
        <v>309301.5</v>
      </c>
      <c r="AA179" s="629">
        <f t="shared" si="148"/>
        <v>0</v>
      </c>
      <c r="AB179" s="627"/>
      <c r="AC179" s="628"/>
      <c r="AD179" s="627"/>
      <c r="AE179" s="629">
        <f t="shared" si="149"/>
        <v>0</v>
      </c>
      <c r="AF179" s="627">
        <f>300000+490006.35</f>
        <v>790006.35</v>
      </c>
      <c r="AG179" s="628">
        <f>300000+490006.35</f>
        <v>790006.35</v>
      </c>
      <c r="AH179" s="627">
        <v>790006.35</v>
      </c>
      <c r="AI179" s="629">
        <f t="shared" si="150"/>
        <v>0</v>
      </c>
      <c r="AJ179" s="627">
        <v>735000</v>
      </c>
      <c r="AK179" s="628">
        <v>735000</v>
      </c>
      <c r="AL179" s="627"/>
      <c r="AM179" s="629">
        <f>AL179-AK179</f>
        <v>-735000</v>
      </c>
      <c r="AN179" s="627">
        <v>400000</v>
      </c>
      <c r="AO179" s="628"/>
      <c r="AP179" s="627"/>
      <c r="AQ179" s="632">
        <f t="shared" ref="AQ179:AQ185" si="156">AP179-AO179+AM179</f>
        <v>-735000</v>
      </c>
      <c r="AR179" s="627">
        <v>400000</v>
      </c>
      <c r="AS179" s="628"/>
      <c r="AT179" s="627"/>
      <c r="AU179" s="629">
        <f t="shared" si="151"/>
        <v>0</v>
      </c>
      <c r="AV179" s="627"/>
      <c r="AW179" s="628"/>
      <c r="AX179" s="627"/>
      <c r="AY179" s="629">
        <f t="shared" si="152"/>
        <v>0</v>
      </c>
      <c r="AZ179" s="627">
        <v>400000</v>
      </c>
      <c r="BA179" s="628"/>
      <c r="BB179" s="627"/>
      <c r="BC179" s="633">
        <f t="shared" si="153"/>
        <v>0</v>
      </c>
      <c r="BD179" s="627">
        <v>170503.54</v>
      </c>
      <c r="BE179" s="627"/>
      <c r="BF179" s="240"/>
      <c r="BG179" s="164"/>
      <c r="BH179" s="241">
        <f t="shared" ref="BH179:BH185" si="157">BG179-BF179</f>
        <v>0</v>
      </c>
      <c r="BI179" s="246"/>
      <c r="BJ179" s="202"/>
      <c r="BK179" s="202"/>
      <c r="BL179" s="501">
        <f t="shared" si="154"/>
        <v>3972200</v>
      </c>
      <c r="BM179" s="158"/>
      <c r="BN179" s="1080" t="s">
        <v>658</v>
      </c>
      <c r="BO179" s="132"/>
      <c r="BQ179" s="230"/>
    </row>
    <row r="180" spans="1:69" ht="32.25" customHeight="1" x14ac:dyDescent="0.2">
      <c r="A180" s="1130"/>
      <c r="B180" s="569" t="s">
        <v>219</v>
      </c>
      <c r="C180" s="242" t="s">
        <v>136</v>
      </c>
      <c r="D180" s="232" t="s">
        <v>12</v>
      </c>
      <c r="E180" s="232" t="s">
        <v>221</v>
      </c>
      <c r="F180" s="430" t="s">
        <v>14</v>
      </c>
      <c r="G180" s="232"/>
      <c r="H180" s="625">
        <v>67805300</v>
      </c>
      <c r="I180" s="626">
        <f t="shared" si="144"/>
        <v>67805300</v>
      </c>
      <c r="J180" s="625">
        <f t="shared" si="145"/>
        <v>0</v>
      </c>
      <c r="K180" s="627">
        <f t="shared" si="146"/>
        <v>17848638.93</v>
      </c>
      <c r="L180" s="627"/>
      <c r="M180" s="628"/>
      <c r="N180" s="627"/>
      <c r="O180" s="629"/>
      <c r="P180" s="627"/>
      <c r="Q180" s="630"/>
      <c r="R180" s="627"/>
      <c r="S180" s="629">
        <f t="shared" si="147"/>
        <v>0</v>
      </c>
      <c r="T180" s="627">
        <v>9232450.0199999996</v>
      </c>
      <c r="U180" s="628">
        <v>9232450.0199999996</v>
      </c>
      <c r="V180" s="627">
        <v>9232450.0199999996</v>
      </c>
      <c r="W180" s="629">
        <f t="shared" si="155"/>
        <v>0</v>
      </c>
      <c r="X180" s="627">
        <f>4650000-803251.69</f>
        <v>3846748.31</v>
      </c>
      <c r="Y180" s="628">
        <f>4650000-803251.69</f>
        <v>3846748.31</v>
      </c>
      <c r="Z180" s="627">
        <v>3846748.31</v>
      </c>
      <c r="AA180" s="629">
        <f t="shared" si="148"/>
        <v>0</v>
      </c>
      <c r="AB180" s="627"/>
      <c r="AC180" s="628"/>
      <c r="AD180" s="631"/>
      <c r="AE180" s="629">
        <f t="shared" si="149"/>
        <v>0</v>
      </c>
      <c r="AF180" s="627">
        <f>5200000-430559.4</f>
        <v>4769440.5999999996</v>
      </c>
      <c r="AG180" s="628">
        <f>5200000-430559.4</f>
        <v>4769440.5999999996</v>
      </c>
      <c r="AH180" s="627">
        <v>4769440.5999999996</v>
      </c>
      <c r="AI180" s="629">
        <f t="shared" si="150"/>
        <v>0</v>
      </c>
      <c r="AJ180" s="627">
        <v>6900000</v>
      </c>
      <c r="AK180" s="628">
        <v>6900000</v>
      </c>
      <c r="AL180" s="627"/>
      <c r="AM180" s="629">
        <f>AL180-AK180</f>
        <v>-6900000</v>
      </c>
      <c r="AN180" s="627">
        <v>4900000</v>
      </c>
      <c r="AO180" s="628"/>
      <c r="AP180" s="627"/>
      <c r="AQ180" s="632">
        <f t="shared" si="156"/>
        <v>-6900000</v>
      </c>
      <c r="AR180" s="627">
        <v>6900000</v>
      </c>
      <c r="AS180" s="628"/>
      <c r="AT180" s="627"/>
      <c r="AU180" s="629">
        <f t="shared" si="151"/>
        <v>0</v>
      </c>
      <c r="AV180" s="627">
        <v>9305300</v>
      </c>
      <c r="AW180" s="628"/>
      <c r="AX180" s="627"/>
      <c r="AY180" s="629">
        <f t="shared" si="152"/>
        <v>0</v>
      </c>
      <c r="AZ180" s="627">
        <v>7950000</v>
      </c>
      <c r="BA180" s="628"/>
      <c r="BB180" s="627"/>
      <c r="BC180" s="633">
        <f t="shared" si="153"/>
        <v>0</v>
      </c>
      <c r="BD180" s="627">
        <v>14001361.07</v>
      </c>
      <c r="BE180" s="627"/>
      <c r="BF180" s="240"/>
      <c r="BG180" s="164"/>
      <c r="BH180" s="241">
        <f t="shared" si="157"/>
        <v>0</v>
      </c>
      <c r="BI180" s="246"/>
      <c r="BJ180" s="202"/>
      <c r="BK180" s="202"/>
      <c r="BL180" s="501">
        <f t="shared" si="154"/>
        <v>67805300</v>
      </c>
      <c r="BM180" s="158"/>
      <c r="BN180" s="1090"/>
      <c r="BO180" s="132"/>
      <c r="BQ180" s="230" t="str">
        <f>IF(BJ180&gt;0,BJ180,"")</f>
        <v/>
      </c>
    </row>
    <row r="181" spans="1:69" ht="32.25" customHeight="1" x14ac:dyDescent="0.2">
      <c r="A181" s="1130"/>
      <c r="B181" s="569" t="s">
        <v>219</v>
      </c>
      <c r="C181" s="242" t="s">
        <v>136</v>
      </c>
      <c r="D181" s="232" t="s">
        <v>12</v>
      </c>
      <c r="E181" s="232" t="s">
        <v>231</v>
      </c>
      <c r="F181" s="430" t="s">
        <v>14</v>
      </c>
      <c r="G181" s="232"/>
      <c r="H181" s="625">
        <v>18500000</v>
      </c>
      <c r="I181" s="626">
        <f t="shared" si="144"/>
        <v>18500000</v>
      </c>
      <c r="J181" s="625">
        <f t="shared" si="145"/>
        <v>0</v>
      </c>
      <c r="K181" s="627">
        <f t="shared" si="146"/>
        <v>6288755.8700000001</v>
      </c>
      <c r="L181" s="627"/>
      <c r="M181" s="628"/>
      <c r="N181" s="627"/>
      <c r="O181" s="629"/>
      <c r="P181" s="627"/>
      <c r="Q181" s="630"/>
      <c r="R181" s="627"/>
      <c r="S181" s="629"/>
      <c r="T181" s="627">
        <v>2299699.91</v>
      </c>
      <c r="U181" s="628">
        <v>2299699.91</v>
      </c>
      <c r="V181" s="627">
        <v>2299699.91</v>
      </c>
      <c r="W181" s="629">
        <f t="shared" si="155"/>
        <v>0</v>
      </c>
      <c r="X181" s="627">
        <f>1200000+835767.57</f>
        <v>2035767.5699999998</v>
      </c>
      <c r="Y181" s="628">
        <f>1200000+835767.57</f>
        <v>2035767.5699999998</v>
      </c>
      <c r="Z181" s="627">
        <v>2035767.57</v>
      </c>
      <c r="AA181" s="629">
        <f t="shared" si="148"/>
        <v>0</v>
      </c>
      <c r="AB181" s="627"/>
      <c r="AC181" s="628"/>
      <c r="AD181" s="631"/>
      <c r="AE181" s="629">
        <f t="shared" si="149"/>
        <v>0</v>
      </c>
      <c r="AF181" s="627">
        <f>2100000-146711.61</f>
        <v>1953288.3900000001</v>
      </c>
      <c r="AG181" s="628">
        <f>2100000-146711.61</f>
        <v>1953288.3900000001</v>
      </c>
      <c r="AH181" s="627">
        <v>1953288.39</v>
      </c>
      <c r="AI181" s="629">
        <f t="shared" si="150"/>
        <v>0</v>
      </c>
      <c r="AJ181" s="627">
        <v>2100000</v>
      </c>
      <c r="AK181" s="628">
        <v>2100000</v>
      </c>
      <c r="AL181" s="627"/>
      <c r="AM181" s="629">
        <f>AL181-AK181</f>
        <v>-2100000</v>
      </c>
      <c r="AN181" s="627">
        <v>1700000</v>
      </c>
      <c r="AO181" s="628"/>
      <c r="AP181" s="627"/>
      <c r="AQ181" s="632">
        <f t="shared" si="156"/>
        <v>-2100000</v>
      </c>
      <c r="AR181" s="627">
        <v>1700000</v>
      </c>
      <c r="AS181" s="628"/>
      <c r="AT181" s="627"/>
      <c r="AU181" s="629">
        <f t="shared" si="151"/>
        <v>0</v>
      </c>
      <c r="AV181" s="627">
        <v>2200000</v>
      </c>
      <c r="AW181" s="628"/>
      <c r="AX181" s="627"/>
      <c r="AY181" s="629">
        <f t="shared" si="152"/>
        <v>0</v>
      </c>
      <c r="AZ181" s="627">
        <v>2200000</v>
      </c>
      <c r="BA181" s="628"/>
      <c r="BB181" s="627"/>
      <c r="BC181" s="633">
        <f t="shared" si="153"/>
        <v>0</v>
      </c>
      <c r="BD181" s="627">
        <v>2311244.13</v>
      </c>
      <c r="BE181" s="627"/>
      <c r="BF181" s="240"/>
      <c r="BG181" s="164"/>
      <c r="BH181" s="241">
        <f t="shared" si="157"/>
        <v>0</v>
      </c>
      <c r="BI181" s="246"/>
      <c r="BJ181" s="202"/>
      <c r="BK181" s="202"/>
      <c r="BL181" s="501">
        <f t="shared" si="154"/>
        <v>18500000</v>
      </c>
      <c r="BM181" s="158"/>
      <c r="BN181" s="1081"/>
      <c r="BO181" s="132"/>
      <c r="BQ181" s="230"/>
    </row>
    <row r="182" spans="1:69" ht="42" customHeight="1" x14ac:dyDescent="0.2">
      <c r="A182" s="1109" t="s">
        <v>319</v>
      </c>
      <c r="B182" s="232" t="s">
        <v>219</v>
      </c>
      <c r="C182" s="232" t="s">
        <v>137</v>
      </c>
      <c r="D182" s="232" t="s">
        <v>12</v>
      </c>
      <c r="E182" s="232" t="s">
        <v>221</v>
      </c>
      <c r="F182" s="430" t="s">
        <v>14</v>
      </c>
      <c r="G182" s="232"/>
      <c r="H182" s="625">
        <v>465000</v>
      </c>
      <c r="I182" s="626">
        <f t="shared" si="144"/>
        <v>465000</v>
      </c>
      <c r="J182" s="625">
        <f t="shared" si="145"/>
        <v>0</v>
      </c>
      <c r="K182" s="627">
        <f t="shared" si="146"/>
        <v>0</v>
      </c>
      <c r="L182" s="627"/>
      <c r="M182" s="628"/>
      <c r="N182" s="627"/>
      <c r="O182" s="629"/>
      <c r="P182" s="627"/>
      <c r="Q182" s="630"/>
      <c r="R182" s="627"/>
      <c r="S182" s="629">
        <f t="shared" si="147"/>
        <v>0</v>
      </c>
      <c r="T182" s="627"/>
      <c r="U182" s="628"/>
      <c r="V182" s="627"/>
      <c r="W182" s="629">
        <f t="shared" si="155"/>
        <v>0</v>
      </c>
      <c r="X182" s="627"/>
      <c r="Y182" s="628"/>
      <c r="Z182" s="627"/>
      <c r="AA182" s="629">
        <f t="shared" si="148"/>
        <v>0</v>
      </c>
      <c r="AB182" s="627"/>
      <c r="AC182" s="628"/>
      <c r="AD182" s="631"/>
      <c r="AE182" s="629">
        <f t="shared" si="149"/>
        <v>0</v>
      </c>
      <c r="AF182" s="627"/>
      <c r="AG182" s="628"/>
      <c r="AH182" s="627"/>
      <c r="AI182" s="629">
        <f t="shared" si="150"/>
        <v>0</v>
      </c>
      <c r="AJ182" s="627"/>
      <c r="AK182" s="628"/>
      <c r="AL182" s="627"/>
      <c r="AM182" s="629">
        <f>AL182-AK182</f>
        <v>0</v>
      </c>
      <c r="AN182" s="627"/>
      <c r="AO182" s="628"/>
      <c r="AP182" s="627"/>
      <c r="AQ182" s="632">
        <f t="shared" si="156"/>
        <v>0</v>
      </c>
      <c r="AR182" s="627"/>
      <c r="AS182" s="628"/>
      <c r="AT182" s="627"/>
      <c r="AU182" s="629">
        <f t="shared" si="151"/>
        <v>0</v>
      </c>
      <c r="AV182" s="627"/>
      <c r="AW182" s="628"/>
      <c r="AX182" s="627"/>
      <c r="AY182" s="629">
        <f t="shared" si="152"/>
        <v>0</v>
      </c>
      <c r="AZ182" s="627">
        <v>365000</v>
      </c>
      <c r="BA182" s="628"/>
      <c r="BB182" s="627"/>
      <c r="BC182" s="633">
        <f t="shared" si="153"/>
        <v>0</v>
      </c>
      <c r="BD182" s="627">
        <v>100000</v>
      </c>
      <c r="BE182" s="627"/>
      <c r="BF182" s="240"/>
      <c r="BG182" s="164"/>
      <c r="BH182" s="241">
        <f t="shared" si="157"/>
        <v>0</v>
      </c>
      <c r="BI182" s="246"/>
      <c r="BJ182" s="202"/>
      <c r="BK182" s="202"/>
      <c r="BL182" s="501">
        <f t="shared" si="154"/>
        <v>465000</v>
      </c>
      <c r="BM182" s="158"/>
      <c r="BN182" s="164"/>
      <c r="BO182" s="132"/>
      <c r="BQ182" s="230" t="str">
        <f>IF(BJ182&gt;0,BJ182,"")</f>
        <v/>
      </c>
    </row>
    <row r="183" spans="1:69" ht="42" customHeight="1" x14ac:dyDescent="0.2">
      <c r="A183" s="1150"/>
      <c r="B183" s="232" t="s">
        <v>219</v>
      </c>
      <c r="C183" s="232" t="s">
        <v>137</v>
      </c>
      <c r="D183" s="232" t="s">
        <v>12</v>
      </c>
      <c r="E183" s="232" t="s">
        <v>231</v>
      </c>
      <c r="F183" s="430" t="s">
        <v>14</v>
      </c>
      <c r="G183" s="232"/>
      <c r="H183" s="625">
        <v>90000</v>
      </c>
      <c r="I183" s="626">
        <f t="shared" si="144"/>
        <v>90000</v>
      </c>
      <c r="J183" s="625">
        <f t="shared" si="145"/>
        <v>0</v>
      </c>
      <c r="K183" s="627">
        <f t="shared" si="146"/>
        <v>0</v>
      </c>
      <c r="L183" s="627"/>
      <c r="M183" s="628"/>
      <c r="N183" s="627"/>
      <c r="O183" s="629"/>
      <c r="P183" s="627"/>
      <c r="Q183" s="630"/>
      <c r="R183" s="627"/>
      <c r="S183" s="629"/>
      <c r="T183" s="627"/>
      <c r="U183" s="628"/>
      <c r="V183" s="627"/>
      <c r="W183" s="629">
        <f t="shared" si="155"/>
        <v>0</v>
      </c>
      <c r="X183" s="627"/>
      <c r="Y183" s="628"/>
      <c r="Z183" s="627"/>
      <c r="AA183" s="629">
        <f t="shared" si="148"/>
        <v>0</v>
      </c>
      <c r="AB183" s="627"/>
      <c r="AC183" s="628"/>
      <c r="AD183" s="631"/>
      <c r="AE183" s="629">
        <f t="shared" si="149"/>
        <v>0</v>
      </c>
      <c r="AF183" s="627"/>
      <c r="AG183" s="628"/>
      <c r="AH183" s="627"/>
      <c r="AI183" s="629">
        <f t="shared" si="150"/>
        <v>0</v>
      </c>
      <c r="AJ183" s="627"/>
      <c r="AK183" s="628"/>
      <c r="AL183" s="627"/>
      <c r="AM183" s="629">
        <f>AL183-AK183</f>
        <v>0</v>
      </c>
      <c r="AN183" s="627"/>
      <c r="AO183" s="628"/>
      <c r="AP183" s="627"/>
      <c r="AQ183" s="632">
        <f t="shared" si="156"/>
        <v>0</v>
      </c>
      <c r="AR183" s="627"/>
      <c r="AS183" s="628"/>
      <c r="AT183" s="627"/>
      <c r="AU183" s="629">
        <f t="shared" si="151"/>
        <v>0</v>
      </c>
      <c r="AV183" s="627"/>
      <c r="AW183" s="628"/>
      <c r="AX183" s="627"/>
      <c r="AY183" s="629">
        <f t="shared" si="152"/>
        <v>0</v>
      </c>
      <c r="AZ183" s="627">
        <v>90000</v>
      </c>
      <c r="BA183" s="628"/>
      <c r="BB183" s="627"/>
      <c r="BC183" s="633">
        <f t="shared" si="153"/>
        <v>0</v>
      </c>
      <c r="BD183" s="627"/>
      <c r="BE183" s="627"/>
      <c r="BF183" s="240"/>
      <c r="BG183" s="164"/>
      <c r="BH183" s="241">
        <f t="shared" si="157"/>
        <v>0</v>
      </c>
      <c r="BI183" s="246"/>
      <c r="BJ183" s="202"/>
      <c r="BK183" s="202"/>
      <c r="BL183" s="501">
        <f t="shared" si="154"/>
        <v>90000</v>
      </c>
      <c r="BM183" s="158"/>
      <c r="BN183" s="164"/>
      <c r="BO183" s="132"/>
      <c r="BQ183" s="230"/>
    </row>
    <row r="184" spans="1:69" ht="51.75" customHeight="1" x14ac:dyDescent="0.2">
      <c r="A184" s="247" t="s">
        <v>423</v>
      </c>
      <c r="B184" s="232" t="s">
        <v>219</v>
      </c>
      <c r="C184" s="232" t="s">
        <v>424</v>
      </c>
      <c r="D184" s="232" t="s">
        <v>220</v>
      </c>
      <c r="E184" s="232" t="s">
        <v>244</v>
      </c>
      <c r="F184" s="430" t="s">
        <v>63</v>
      </c>
      <c r="G184" s="232"/>
      <c r="H184" s="625">
        <v>1000000</v>
      </c>
      <c r="I184" s="626">
        <f>L184+P184+T184+X184+AB184+AF184+AJ184+AN184+AR184+AV184+AZ184+BD184</f>
        <v>1000000</v>
      </c>
      <c r="J184" s="625">
        <f t="shared" si="145"/>
        <v>0</v>
      </c>
      <c r="K184" s="627">
        <f t="shared" si="146"/>
        <v>0</v>
      </c>
      <c r="L184" s="627"/>
      <c r="M184" s="628"/>
      <c r="N184" s="627"/>
      <c r="O184" s="629"/>
      <c r="P184" s="627"/>
      <c r="Q184" s="630"/>
      <c r="R184" s="627"/>
      <c r="S184" s="629"/>
      <c r="T184" s="627"/>
      <c r="U184" s="628"/>
      <c r="V184" s="627"/>
      <c r="W184" s="629"/>
      <c r="X184" s="627"/>
      <c r="Y184" s="628"/>
      <c r="Z184" s="627"/>
      <c r="AA184" s="629">
        <f t="shared" si="148"/>
        <v>0</v>
      </c>
      <c r="AB184" s="627"/>
      <c r="AC184" s="628"/>
      <c r="AD184" s="631"/>
      <c r="AE184" s="629"/>
      <c r="AF184" s="627"/>
      <c r="AG184" s="628"/>
      <c r="AH184" s="627"/>
      <c r="AI184" s="629"/>
      <c r="AJ184" s="627"/>
      <c r="AK184" s="628"/>
      <c r="AL184" s="627"/>
      <c r="AM184" s="629"/>
      <c r="AN184" s="627">
        <v>400000</v>
      </c>
      <c r="AO184" s="628"/>
      <c r="AP184" s="627"/>
      <c r="AQ184" s="632"/>
      <c r="AR184" s="627"/>
      <c r="AS184" s="628"/>
      <c r="AT184" s="627"/>
      <c r="AU184" s="629"/>
      <c r="AV184" s="627">
        <v>600000</v>
      </c>
      <c r="AW184" s="628"/>
      <c r="AX184" s="627"/>
      <c r="AY184" s="629"/>
      <c r="AZ184" s="627"/>
      <c r="BA184" s="628"/>
      <c r="BB184" s="627"/>
      <c r="BC184" s="633"/>
      <c r="BD184" s="627"/>
      <c r="BE184" s="627"/>
      <c r="BF184" s="240"/>
      <c r="BG184" s="164"/>
      <c r="BH184" s="241"/>
      <c r="BI184" s="246" t="s">
        <v>385</v>
      </c>
      <c r="BJ184" s="202"/>
      <c r="BK184" s="202"/>
      <c r="BL184" s="501"/>
      <c r="BM184" s="158"/>
      <c r="BN184" s="854"/>
      <c r="BO184" s="132"/>
      <c r="BQ184" s="230"/>
    </row>
    <row r="185" spans="1:69" ht="126" x14ac:dyDescent="0.2">
      <c r="A185" s="123" t="s">
        <v>318</v>
      </c>
      <c r="B185" s="242" t="s">
        <v>245</v>
      </c>
      <c r="C185" s="570" t="s">
        <v>138</v>
      </c>
      <c r="D185" s="242" t="s">
        <v>248</v>
      </c>
      <c r="E185" s="232" t="s">
        <v>247</v>
      </c>
      <c r="F185" s="430" t="s">
        <v>63</v>
      </c>
      <c r="G185" s="232"/>
      <c r="H185" s="625">
        <v>1343600</v>
      </c>
      <c r="I185" s="626">
        <f t="shared" si="144"/>
        <v>1343600</v>
      </c>
      <c r="J185" s="627">
        <f t="shared" si="145"/>
        <v>0</v>
      </c>
      <c r="K185" s="627">
        <f t="shared" si="146"/>
        <v>464717.5</v>
      </c>
      <c r="L185" s="627"/>
      <c r="M185" s="628"/>
      <c r="N185" s="627"/>
      <c r="O185" s="629"/>
      <c r="P185" s="627">
        <f>57729+86213</f>
        <v>143942</v>
      </c>
      <c r="Q185" s="630">
        <f>57729+86213</f>
        <v>143942</v>
      </c>
      <c r="R185" s="627">
        <v>143942</v>
      </c>
      <c r="S185" s="629">
        <f>R185-Q185</f>
        <v>0</v>
      </c>
      <c r="T185" s="627">
        <v>43111</v>
      </c>
      <c r="U185" s="628">
        <v>43111</v>
      </c>
      <c r="V185" s="627">
        <v>43111</v>
      </c>
      <c r="W185" s="629">
        <f t="shared" si="155"/>
        <v>0</v>
      </c>
      <c r="X185" s="627">
        <f>100000+51847</f>
        <v>151847</v>
      </c>
      <c r="Y185" s="628">
        <f>100000+51847</f>
        <v>151847</v>
      </c>
      <c r="Z185" s="627">
        <v>151847</v>
      </c>
      <c r="AA185" s="629">
        <f t="shared" si="148"/>
        <v>0</v>
      </c>
      <c r="AB185" s="627">
        <f>80000-20284</f>
        <v>59716</v>
      </c>
      <c r="AC185" s="628">
        <f>80000-20284</f>
        <v>59716</v>
      </c>
      <c r="AD185" s="627">
        <v>59716</v>
      </c>
      <c r="AE185" s="629">
        <f t="shared" si="149"/>
        <v>0</v>
      </c>
      <c r="AF185" s="627">
        <f>50000+16101.5</f>
        <v>66101.5</v>
      </c>
      <c r="AG185" s="628">
        <f>50000+16101.5</f>
        <v>66101.5</v>
      </c>
      <c r="AH185" s="978">
        <v>66101.5</v>
      </c>
      <c r="AI185" s="629">
        <f t="shared" si="150"/>
        <v>0</v>
      </c>
      <c r="AJ185" s="627">
        <v>50000</v>
      </c>
      <c r="AK185" s="628">
        <v>50000</v>
      </c>
      <c r="AL185" s="627"/>
      <c r="AM185" s="629">
        <f>AL185-AK185</f>
        <v>-50000</v>
      </c>
      <c r="AN185" s="627">
        <v>100000</v>
      </c>
      <c r="AO185" s="628"/>
      <c r="AP185" s="627"/>
      <c r="AQ185" s="632">
        <f t="shared" si="156"/>
        <v>-50000</v>
      </c>
      <c r="AR185" s="627">
        <v>100000</v>
      </c>
      <c r="AS185" s="628"/>
      <c r="AT185" s="627"/>
      <c r="AU185" s="629">
        <f t="shared" si="151"/>
        <v>0</v>
      </c>
      <c r="AV185" s="627">
        <v>100000</v>
      </c>
      <c r="AW185" s="628"/>
      <c r="AX185" s="627"/>
      <c r="AY185" s="629">
        <f t="shared" si="152"/>
        <v>0</v>
      </c>
      <c r="AZ185" s="627">
        <v>178489</v>
      </c>
      <c r="BA185" s="628"/>
      <c r="BB185" s="627"/>
      <c r="BC185" s="633">
        <f>BB185-BA185</f>
        <v>0</v>
      </c>
      <c r="BD185" s="627">
        <v>350393.5</v>
      </c>
      <c r="BE185" s="627"/>
      <c r="BF185" s="240"/>
      <c r="BG185" s="164"/>
      <c r="BH185" s="241">
        <f t="shared" si="157"/>
        <v>0</v>
      </c>
      <c r="BI185" s="246"/>
      <c r="BJ185" s="202"/>
      <c r="BK185" s="202"/>
      <c r="BL185" s="501">
        <f t="shared" si="154"/>
        <v>1343600</v>
      </c>
      <c r="BM185" s="158"/>
      <c r="BN185" s="968"/>
      <c r="BO185" s="132"/>
      <c r="BQ185" s="230" t="str">
        <f t="shared" ref="BQ185:BQ193" si="158">IF(BJ185&gt;0,BJ185,"")</f>
        <v/>
      </c>
    </row>
    <row r="186" spans="1:69" ht="19.5" hidden="1" x14ac:dyDescent="0.2">
      <c r="A186" s="482"/>
      <c r="B186" s="569"/>
      <c r="C186" s="242"/>
      <c r="D186" s="232"/>
      <c r="E186" s="232"/>
      <c r="F186" s="430"/>
      <c r="G186" s="232"/>
      <c r="H186" s="558"/>
      <c r="I186" s="568"/>
      <c r="J186" s="557"/>
      <c r="K186" s="164"/>
      <c r="L186" s="164"/>
      <c r="M186" s="240"/>
      <c r="N186" s="164"/>
      <c r="O186" s="241"/>
      <c r="P186" s="164"/>
      <c r="Q186" s="554"/>
      <c r="R186" s="164"/>
      <c r="S186" s="241"/>
      <c r="T186" s="164"/>
      <c r="U186" s="240"/>
      <c r="V186" s="164"/>
      <c r="W186" s="241"/>
      <c r="X186" s="164"/>
      <c r="Y186" s="240"/>
      <c r="Z186" s="164"/>
      <c r="AA186" s="241"/>
      <c r="AB186" s="164"/>
      <c r="AC186" s="240"/>
      <c r="AD186" s="559"/>
      <c r="AE186" s="241"/>
      <c r="AF186" s="164"/>
      <c r="AG186" s="240"/>
      <c r="AH186" s="164"/>
      <c r="AI186" s="241"/>
      <c r="AJ186" s="164"/>
      <c r="AK186" s="240"/>
      <c r="AL186" s="164"/>
      <c r="AM186" s="241"/>
      <c r="AN186" s="164"/>
      <c r="AO186" s="240"/>
      <c r="AP186" s="164"/>
      <c r="AQ186" s="234"/>
      <c r="AR186" s="164"/>
      <c r="AS186" s="240"/>
      <c r="AT186" s="164"/>
      <c r="AU186" s="241"/>
      <c r="AV186" s="164"/>
      <c r="AW186" s="240"/>
      <c r="AX186" s="164"/>
      <c r="AY186" s="241"/>
      <c r="AZ186" s="164"/>
      <c r="BA186" s="240"/>
      <c r="BB186" s="164"/>
      <c r="BC186" s="556"/>
      <c r="BD186" s="164"/>
      <c r="BE186" s="264"/>
      <c r="BF186" s="243"/>
      <c r="BG186" s="164"/>
      <c r="BH186" s="241"/>
      <c r="BI186" s="246"/>
      <c r="BJ186" s="202"/>
      <c r="BK186" s="202"/>
      <c r="BL186" s="501"/>
      <c r="BM186" s="158"/>
      <c r="BN186" s="854"/>
      <c r="BO186" s="132"/>
      <c r="BQ186" s="230" t="str">
        <f t="shared" si="158"/>
        <v/>
      </c>
    </row>
    <row r="187" spans="1:69" s="689" customFormat="1" ht="35.25" customHeight="1" x14ac:dyDescent="0.2">
      <c r="A187" s="696" t="s">
        <v>249</v>
      </c>
      <c r="B187" s="697"/>
      <c r="C187" s="698"/>
      <c r="D187" s="687"/>
      <c r="E187" s="687"/>
      <c r="F187" s="688" t="s">
        <v>14</v>
      </c>
      <c r="G187" s="687"/>
      <c r="H187" s="676">
        <f>SUMIF($F$191:$F$203,"=31",H191:H203)</f>
        <v>36794300</v>
      </c>
      <c r="I187" s="676">
        <f t="shared" ref="I187:BD187" si="159">SUMIF($F$191:$F$203,"=31",I191:I203)</f>
        <v>36114070</v>
      </c>
      <c r="J187" s="676">
        <f t="shared" si="159"/>
        <v>680230</v>
      </c>
      <c r="K187" s="676">
        <f t="shared" si="159"/>
        <v>36066835.039999999</v>
      </c>
      <c r="L187" s="676">
        <f t="shared" si="159"/>
        <v>0</v>
      </c>
      <c r="M187" s="676">
        <f t="shared" si="159"/>
        <v>0</v>
      </c>
      <c r="N187" s="676">
        <f t="shared" si="159"/>
        <v>0</v>
      </c>
      <c r="O187" s="676">
        <f t="shared" si="159"/>
        <v>0</v>
      </c>
      <c r="P187" s="676">
        <f t="shared" si="159"/>
        <v>0</v>
      </c>
      <c r="Q187" s="676">
        <f t="shared" si="159"/>
        <v>0</v>
      </c>
      <c r="R187" s="676">
        <f t="shared" si="159"/>
        <v>0</v>
      </c>
      <c r="S187" s="676">
        <f t="shared" si="159"/>
        <v>0</v>
      </c>
      <c r="T187" s="676">
        <f t="shared" si="159"/>
        <v>0</v>
      </c>
      <c r="U187" s="676">
        <f t="shared" si="159"/>
        <v>0</v>
      </c>
      <c r="V187" s="676">
        <f t="shared" si="159"/>
        <v>0</v>
      </c>
      <c r="W187" s="676">
        <f t="shared" si="159"/>
        <v>0</v>
      </c>
      <c r="X187" s="676">
        <f>SUMIF($F$191:$F$203,"=31",X191:X203)</f>
        <v>0</v>
      </c>
      <c r="Y187" s="676">
        <f t="shared" si="159"/>
        <v>0</v>
      </c>
      <c r="Z187" s="676">
        <f t="shared" si="159"/>
        <v>0</v>
      </c>
      <c r="AA187" s="676">
        <f t="shared" si="159"/>
        <v>0</v>
      </c>
      <c r="AB187" s="676">
        <f t="shared" si="159"/>
        <v>36050070</v>
      </c>
      <c r="AC187" s="676">
        <f t="shared" si="159"/>
        <v>36050070</v>
      </c>
      <c r="AD187" s="676">
        <f t="shared" si="159"/>
        <v>36050070</v>
      </c>
      <c r="AE187" s="676">
        <f t="shared" si="159"/>
        <v>0</v>
      </c>
      <c r="AF187" s="676">
        <f t="shared" si="159"/>
        <v>0</v>
      </c>
      <c r="AG187" s="676">
        <f t="shared" si="159"/>
        <v>0</v>
      </c>
      <c r="AH187" s="676">
        <f t="shared" si="159"/>
        <v>0</v>
      </c>
      <c r="AI187" s="676">
        <f t="shared" si="159"/>
        <v>0</v>
      </c>
      <c r="AJ187" s="676">
        <f t="shared" si="159"/>
        <v>28535.47</v>
      </c>
      <c r="AK187" s="676">
        <f t="shared" si="159"/>
        <v>28535.47</v>
      </c>
      <c r="AL187" s="676">
        <f t="shared" si="159"/>
        <v>16765.04</v>
      </c>
      <c r="AM187" s="676">
        <f t="shared" si="159"/>
        <v>-11770.429999999998</v>
      </c>
      <c r="AN187" s="676">
        <f t="shared" si="159"/>
        <v>5755.1</v>
      </c>
      <c r="AO187" s="676">
        <f t="shared" si="159"/>
        <v>0</v>
      </c>
      <c r="AP187" s="676">
        <f t="shared" si="159"/>
        <v>0</v>
      </c>
      <c r="AQ187" s="676">
        <f t="shared" si="159"/>
        <v>0</v>
      </c>
      <c r="AR187" s="676">
        <f t="shared" si="159"/>
        <v>5500.24</v>
      </c>
      <c r="AS187" s="676">
        <f t="shared" si="159"/>
        <v>0</v>
      </c>
      <c r="AT187" s="676">
        <f t="shared" si="159"/>
        <v>0</v>
      </c>
      <c r="AU187" s="676">
        <f t="shared" si="159"/>
        <v>0</v>
      </c>
      <c r="AV187" s="676">
        <f t="shared" si="159"/>
        <v>0</v>
      </c>
      <c r="AW187" s="676">
        <f t="shared" si="159"/>
        <v>0</v>
      </c>
      <c r="AX187" s="676">
        <f t="shared" si="159"/>
        <v>0</v>
      </c>
      <c r="AY187" s="676">
        <f t="shared" si="159"/>
        <v>0</v>
      </c>
      <c r="AZ187" s="676">
        <f t="shared" si="159"/>
        <v>0</v>
      </c>
      <c r="BA187" s="676">
        <f t="shared" si="159"/>
        <v>0</v>
      </c>
      <c r="BB187" s="676">
        <f t="shared" si="159"/>
        <v>0</v>
      </c>
      <c r="BC187" s="676">
        <f t="shared" si="159"/>
        <v>0</v>
      </c>
      <c r="BD187" s="676">
        <f t="shared" si="159"/>
        <v>24209.19</v>
      </c>
      <c r="BE187" s="676">
        <f>SUMIF($F$191:$F$203,"=31",BE191:BE203)</f>
        <v>0</v>
      </c>
      <c r="BF187" s="676">
        <f>SUMIF($F$191:$F$203,"=01",BF191:BF203)</f>
        <v>0</v>
      </c>
      <c r="BG187" s="676">
        <f>SUMIF($F$191:$F$203,"=01",BG191:BG203)</f>
        <v>0</v>
      </c>
      <c r="BH187" s="676">
        <f>SUMIF($F$191:$F$203,"=01",BH191:BH203)</f>
        <v>0</v>
      </c>
      <c r="BI187" s="699" t="s">
        <v>385</v>
      </c>
      <c r="BJ187" s="676">
        <f>SUMIF($F$191:$F$203,"=31",BJ191:BJ203)</f>
        <v>0</v>
      </c>
      <c r="BK187" s="676">
        <f>SUMIF($F$191:$F$203,"=31",BK191:BK203)</f>
        <v>0</v>
      </c>
      <c r="BL187" s="676">
        <f>SUMIF($F$191:$F$203,"=31",BL191:BL203)</f>
        <v>36794300</v>
      </c>
      <c r="BM187" s="972">
        <f>SUMIF($F$191:$F$203,"=31",BM191:BM203)</f>
        <v>36050070</v>
      </c>
      <c r="BN187" s="646"/>
      <c r="BO187" s="687"/>
      <c r="BQ187" s="652" t="str">
        <f t="shared" si="158"/>
        <v/>
      </c>
    </row>
    <row r="188" spans="1:69" s="765" customFormat="1" ht="35.25" customHeight="1" x14ac:dyDescent="0.2">
      <c r="A188" s="759" t="s">
        <v>249</v>
      </c>
      <c r="B188" s="760"/>
      <c r="C188" s="761"/>
      <c r="D188" s="762"/>
      <c r="E188" s="762"/>
      <c r="F188" s="763" t="s">
        <v>63</v>
      </c>
      <c r="G188" s="762"/>
      <c r="H188" s="666">
        <f>SUMIF($F$191:$F$203,"=01",H191:H204)</f>
        <v>471498000</v>
      </c>
      <c r="I188" s="666">
        <f t="shared" ref="I188:BD188" si="160">SUMIF($F$191:$F$203,"=01",I191:I204)</f>
        <v>471962100</v>
      </c>
      <c r="J188" s="666">
        <f t="shared" si="160"/>
        <v>-464100</v>
      </c>
      <c r="K188" s="666">
        <f t="shared" si="160"/>
        <v>453031031</v>
      </c>
      <c r="L188" s="666">
        <f t="shared" si="160"/>
        <v>0</v>
      </c>
      <c r="M188" s="666">
        <f t="shared" si="160"/>
        <v>0</v>
      </c>
      <c r="N188" s="666">
        <f t="shared" si="160"/>
        <v>0</v>
      </c>
      <c r="O188" s="666">
        <f t="shared" si="160"/>
        <v>0</v>
      </c>
      <c r="P188" s="666">
        <f t="shared" si="160"/>
        <v>0</v>
      </c>
      <c r="Q188" s="666">
        <f t="shared" si="160"/>
        <v>0</v>
      </c>
      <c r="R188" s="666">
        <f t="shared" si="160"/>
        <v>0</v>
      </c>
      <c r="S188" s="666">
        <f t="shared" si="160"/>
        <v>0</v>
      </c>
      <c r="T188" s="666">
        <f t="shared" si="160"/>
        <v>177105934.96000001</v>
      </c>
      <c r="U188" s="666">
        <f t="shared" si="160"/>
        <v>177105934.96000001</v>
      </c>
      <c r="V188" s="666">
        <f t="shared" si="160"/>
        <v>173522867.46000001</v>
      </c>
      <c r="W188" s="666">
        <f t="shared" si="160"/>
        <v>0</v>
      </c>
      <c r="X188" s="666">
        <f t="shared" si="160"/>
        <v>166824953.03999999</v>
      </c>
      <c r="Y188" s="666">
        <f t="shared" si="160"/>
        <v>166824953.03999999</v>
      </c>
      <c r="Z188" s="666">
        <f t="shared" si="160"/>
        <v>166824953.03999999</v>
      </c>
      <c r="AA188" s="666">
        <f t="shared" si="160"/>
        <v>0</v>
      </c>
      <c r="AB188" s="666">
        <f t="shared" si="160"/>
        <v>74116417.5</v>
      </c>
      <c r="AC188" s="666">
        <f t="shared" si="160"/>
        <v>74116417.5</v>
      </c>
      <c r="AD188" s="666">
        <f t="shared" si="160"/>
        <v>74116417.5</v>
      </c>
      <c r="AE188" s="666">
        <f t="shared" si="160"/>
        <v>0</v>
      </c>
      <c r="AF188" s="666">
        <f t="shared" si="160"/>
        <v>38566793</v>
      </c>
      <c r="AG188" s="666">
        <f t="shared" si="160"/>
        <v>38566793</v>
      </c>
      <c r="AH188" s="666">
        <f t="shared" si="160"/>
        <v>38566793</v>
      </c>
      <c r="AI188" s="666">
        <f t="shared" si="160"/>
        <v>0</v>
      </c>
      <c r="AJ188" s="666">
        <f t="shared" si="160"/>
        <v>15348001.5</v>
      </c>
      <c r="AK188" s="666">
        <f t="shared" si="160"/>
        <v>15348001.5</v>
      </c>
      <c r="AL188" s="666">
        <f t="shared" si="160"/>
        <v>0</v>
      </c>
      <c r="AM188" s="666">
        <f t="shared" si="160"/>
        <v>-15348001.5</v>
      </c>
      <c r="AN188" s="666">
        <f t="shared" si="160"/>
        <v>0</v>
      </c>
      <c r="AO188" s="666">
        <f t="shared" si="160"/>
        <v>0</v>
      </c>
      <c r="AP188" s="666">
        <f t="shared" si="160"/>
        <v>0</v>
      </c>
      <c r="AQ188" s="666">
        <f t="shared" si="160"/>
        <v>0</v>
      </c>
      <c r="AR188" s="666">
        <f t="shared" si="160"/>
        <v>0</v>
      </c>
      <c r="AS188" s="666">
        <f t="shared" si="160"/>
        <v>0</v>
      </c>
      <c r="AT188" s="666">
        <f t="shared" si="160"/>
        <v>0</v>
      </c>
      <c r="AU188" s="666">
        <f t="shared" si="160"/>
        <v>0</v>
      </c>
      <c r="AV188" s="666">
        <f t="shared" si="160"/>
        <v>0</v>
      </c>
      <c r="AW188" s="666">
        <f t="shared" si="160"/>
        <v>0</v>
      </c>
      <c r="AX188" s="666">
        <f t="shared" si="160"/>
        <v>0</v>
      </c>
      <c r="AY188" s="666">
        <f t="shared" si="160"/>
        <v>0</v>
      </c>
      <c r="AZ188" s="666">
        <f t="shared" si="160"/>
        <v>0</v>
      </c>
      <c r="BA188" s="666">
        <f t="shared" si="160"/>
        <v>0</v>
      </c>
      <c r="BB188" s="666">
        <f t="shared" si="160"/>
        <v>0</v>
      </c>
      <c r="BC188" s="666">
        <f t="shared" si="160"/>
        <v>0</v>
      </c>
      <c r="BD188" s="666">
        <f t="shared" si="160"/>
        <v>0</v>
      </c>
      <c r="BE188" s="666"/>
      <c r="BF188" s="666"/>
      <c r="BG188" s="666"/>
      <c r="BH188" s="666"/>
      <c r="BI188" s="764"/>
      <c r="BJ188" s="666"/>
      <c r="BK188" s="666"/>
      <c r="BL188" s="666"/>
      <c r="BM188" s="973"/>
      <c r="BN188" s="869"/>
      <c r="BO188" s="762"/>
      <c r="BQ188" s="686"/>
    </row>
    <row r="189" spans="1:69" s="689" customFormat="1" ht="35.25" customHeight="1" x14ac:dyDescent="0.2">
      <c r="A189" s="1106" t="s">
        <v>250</v>
      </c>
      <c r="B189" s="1107"/>
      <c r="C189" s="1108"/>
      <c r="D189" s="687"/>
      <c r="E189" s="687"/>
      <c r="F189" s="691" t="s">
        <v>16</v>
      </c>
      <c r="G189" s="687"/>
      <c r="H189" s="700">
        <f>SUMIF($F$191:$F$203,"=32",H191:H203)</f>
        <v>1553100</v>
      </c>
      <c r="I189" s="700">
        <f t="shared" ref="I189:BD189" si="161">SUMIF($F$191:$F$203,"=32",I191:I203)</f>
        <v>1216000</v>
      </c>
      <c r="J189" s="700">
        <f t="shared" si="161"/>
        <v>337100</v>
      </c>
      <c r="K189" s="700">
        <f t="shared" si="161"/>
        <v>523678.14</v>
      </c>
      <c r="L189" s="700">
        <f t="shared" si="161"/>
        <v>0</v>
      </c>
      <c r="M189" s="700">
        <f t="shared" si="161"/>
        <v>0</v>
      </c>
      <c r="N189" s="700">
        <f t="shared" si="161"/>
        <v>0</v>
      </c>
      <c r="O189" s="700">
        <f t="shared" si="161"/>
        <v>0</v>
      </c>
      <c r="P189" s="700">
        <f t="shared" si="161"/>
        <v>0</v>
      </c>
      <c r="Q189" s="700">
        <f t="shared" si="161"/>
        <v>0</v>
      </c>
      <c r="R189" s="700">
        <f t="shared" si="161"/>
        <v>0</v>
      </c>
      <c r="S189" s="700">
        <f t="shared" si="161"/>
        <v>0</v>
      </c>
      <c r="T189" s="700">
        <f t="shared" si="161"/>
        <v>0</v>
      </c>
      <c r="U189" s="700">
        <f t="shared" si="161"/>
        <v>0</v>
      </c>
      <c r="V189" s="700">
        <f t="shared" si="161"/>
        <v>0</v>
      </c>
      <c r="W189" s="700">
        <f t="shared" si="161"/>
        <v>0</v>
      </c>
      <c r="X189" s="700">
        <f>SUMIF($F$191:$F$203,"=32",X191:X203)</f>
        <v>0</v>
      </c>
      <c r="Y189" s="700">
        <f t="shared" si="161"/>
        <v>0</v>
      </c>
      <c r="Z189" s="700">
        <f t="shared" si="161"/>
        <v>0</v>
      </c>
      <c r="AA189" s="700">
        <f t="shared" si="161"/>
        <v>0</v>
      </c>
      <c r="AB189" s="700">
        <f t="shared" si="161"/>
        <v>0</v>
      </c>
      <c r="AC189" s="700">
        <f t="shared" si="161"/>
        <v>0</v>
      </c>
      <c r="AD189" s="700">
        <f t="shared" si="161"/>
        <v>0</v>
      </c>
      <c r="AE189" s="700">
        <f t="shared" si="161"/>
        <v>0</v>
      </c>
      <c r="AF189" s="700">
        <f t="shared" si="161"/>
        <v>0</v>
      </c>
      <c r="AG189" s="700">
        <f t="shared" si="161"/>
        <v>0</v>
      </c>
      <c r="AH189" s="700">
        <f t="shared" si="161"/>
        <v>0</v>
      </c>
      <c r="AI189" s="700">
        <f t="shared" si="161"/>
        <v>0</v>
      </c>
      <c r="AJ189" s="700">
        <f t="shared" si="161"/>
        <v>542204.53</v>
      </c>
      <c r="AK189" s="700">
        <f t="shared" si="161"/>
        <v>542204.53</v>
      </c>
      <c r="AL189" s="700">
        <f t="shared" si="161"/>
        <v>523678.14</v>
      </c>
      <c r="AM189" s="700">
        <f t="shared" si="161"/>
        <v>-18526.390000000014</v>
      </c>
      <c r="AN189" s="700">
        <f t="shared" si="161"/>
        <v>109341.9</v>
      </c>
      <c r="AO189" s="700">
        <f t="shared" si="161"/>
        <v>0</v>
      </c>
      <c r="AP189" s="700">
        <f t="shared" si="161"/>
        <v>0</v>
      </c>
      <c r="AQ189" s="700">
        <f t="shared" si="161"/>
        <v>0</v>
      </c>
      <c r="AR189" s="700">
        <f t="shared" si="161"/>
        <v>104499.76</v>
      </c>
      <c r="AS189" s="700">
        <f t="shared" si="161"/>
        <v>0</v>
      </c>
      <c r="AT189" s="700">
        <f t="shared" si="161"/>
        <v>0</v>
      </c>
      <c r="AU189" s="700">
        <f t="shared" si="161"/>
        <v>0</v>
      </c>
      <c r="AV189" s="700">
        <f t="shared" si="161"/>
        <v>0</v>
      </c>
      <c r="AW189" s="700">
        <f t="shared" si="161"/>
        <v>0</v>
      </c>
      <c r="AX189" s="700">
        <f t="shared" si="161"/>
        <v>0</v>
      </c>
      <c r="AY189" s="700">
        <f t="shared" si="161"/>
        <v>0</v>
      </c>
      <c r="AZ189" s="700">
        <f t="shared" si="161"/>
        <v>0</v>
      </c>
      <c r="BA189" s="700">
        <f t="shared" si="161"/>
        <v>0</v>
      </c>
      <c r="BB189" s="700">
        <f t="shared" si="161"/>
        <v>0</v>
      </c>
      <c r="BC189" s="700">
        <f t="shared" si="161"/>
        <v>0</v>
      </c>
      <c r="BD189" s="700">
        <f t="shared" si="161"/>
        <v>459953.81</v>
      </c>
      <c r="BE189" s="700">
        <f>SUMIF($F$191:$F$203,"=32",BE191:BE203)</f>
        <v>0</v>
      </c>
      <c r="BF189" s="700">
        <f>SUMIF($F$191:$F$203,"=02",BF191:BF203)</f>
        <v>0</v>
      </c>
      <c r="BG189" s="700">
        <f>SUMIF($F$191:$F$203,"=02",BG191:BG203)</f>
        <v>0</v>
      </c>
      <c r="BH189" s="700">
        <f>SUMIF($F$191:$F$203,"=02",BH191:BH203)</f>
        <v>0</v>
      </c>
      <c r="BI189" s="699" t="s">
        <v>385</v>
      </c>
      <c r="BJ189" s="700">
        <f>SUMIF($F$191:$F$203,"=32",BJ191:BJ203)</f>
        <v>0</v>
      </c>
      <c r="BK189" s="700">
        <f>SUMIF($F$191:$F$203,"=32",BK191:BK203)</f>
        <v>0</v>
      </c>
      <c r="BL189" s="700">
        <f>SUMIF($F$191:$F$203,"=32",BL191:BL203)</f>
        <v>1216000</v>
      </c>
      <c r="BM189" s="974">
        <f>SUMIF($F$191:$F$203,"=32",BM191:BM203)</f>
        <v>0</v>
      </c>
      <c r="BN189" s="646"/>
      <c r="BO189" s="687"/>
      <c r="BQ189" s="652" t="str">
        <f t="shared" si="158"/>
        <v/>
      </c>
    </row>
    <row r="190" spans="1:69" s="689" customFormat="1" ht="35.25" customHeight="1" x14ac:dyDescent="0.2">
      <c r="A190" s="702" t="s">
        <v>250</v>
      </c>
      <c r="B190" s="703"/>
      <c r="C190" s="704"/>
      <c r="D190" s="687"/>
      <c r="E190" s="687"/>
      <c r="F190" s="691" t="s">
        <v>64</v>
      </c>
      <c r="G190" s="687"/>
      <c r="H190" s="700">
        <f>SUMIF($F$191:$F$203,"=02",H191:H204)</f>
        <v>9318700</v>
      </c>
      <c r="I190" s="700">
        <f t="shared" ref="I190:BD190" si="162">SUMIF($F$191:$F$203,"=02",I191:I204)</f>
        <v>9318700</v>
      </c>
      <c r="J190" s="700">
        <f t="shared" si="162"/>
        <v>0</v>
      </c>
      <c r="K190" s="700">
        <f t="shared" si="162"/>
        <v>9318700</v>
      </c>
      <c r="L190" s="700">
        <f t="shared" si="162"/>
        <v>0</v>
      </c>
      <c r="M190" s="700">
        <f t="shared" si="162"/>
        <v>0</v>
      </c>
      <c r="N190" s="700">
        <f t="shared" si="162"/>
        <v>0</v>
      </c>
      <c r="O190" s="700">
        <f t="shared" si="162"/>
        <v>0</v>
      </c>
      <c r="P190" s="700">
        <f t="shared" si="162"/>
        <v>0</v>
      </c>
      <c r="Q190" s="700">
        <f t="shared" si="162"/>
        <v>0</v>
      </c>
      <c r="R190" s="700">
        <f t="shared" si="162"/>
        <v>0</v>
      </c>
      <c r="S190" s="700">
        <f t="shared" si="162"/>
        <v>0</v>
      </c>
      <c r="T190" s="700">
        <f t="shared" si="162"/>
        <v>6449133.9800000004</v>
      </c>
      <c r="U190" s="700">
        <f t="shared" si="162"/>
        <v>6449133.9800000004</v>
      </c>
      <c r="V190" s="700">
        <f t="shared" si="162"/>
        <v>6449133.9800000004</v>
      </c>
      <c r="W190" s="700">
        <f t="shared" si="162"/>
        <v>0</v>
      </c>
      <c r="X190" s="700">
        <f t="shared" si="162"/>
        <v>2869566.02</v>
      </c>
      <c r="Y190" s="700">
        <f t="shared" si="162"/>
        <v>2869566.02</v>
      </c>
      <c r="Z190" s="700">
        <f t="shared" si="162"/>
        <v>2869566.02</v>
      </c>
      <c r="AA190" s="700">
        <f t="shared" si="162"/>
        <v>0</v>
      </c>
      <c r="AB190" s="700">
        <f t="shared" si="162"/>
        <v>0</v>
      </c>
      <c r="AC190" s="700">
        <f t="shared" si="162"/>
        <v>0</v>
      </c>
      <c r="AD190" s="700">
        <f t="shared" si="162"/>
        <v>0</v>
      </c>
      <c r="AE190" s="700">
        <f t="shared" si="162"/>
        <v>0</v>
      </c>
      <c r="AF190" s="700">
        <f t="shared" si="162"/>
        <v>0</v>
      </c>
      <c r="AG190" s="700">
        <f t="shared" si="162"/>
        <v>0</v>
      </c>
      <c r="AH190" s="700">
        <f t="shared" si="162"/>
        <v>0</v>
      </c>
      <c r="AI190" s="700">
        <f t="shared" si="162"/>
        <v>0</v>
      </c>
      <c r="AJ190" s="700">
        <f t="shared" si="162"/>
        <v>0</v>
      </c>
      <c r="AK190" s="700">
        <f t="shared" si="162"/>
        <v>0</v>
      </c>
      <c r="AL190" s="700">
        <f t="shared" si="162"/>
        <v>0</v>
      </c>
      <c r="AM190" s="700">
        <f t="shared" si="162"/>
        <v>0</v>
      </c>
      <c r="AN190" s="700">
        <f t="shared" si="162"/>
        <v>0</v>
      </c>
      <c r="AO190" s="700">
        <f t="shared" si="162"/>
        <v>0</v>
      </c>
      <c r="AP190" s="700">
        <f t="shared" si="162"/>
        <v>0</v>
      </c>
      <c r="AQ190" s="700">
        <f t="shared" si="162"/>
        <v>0</v>
      </c>
      <c r="AR190" s="700">
        <f t="shared" si="162"/>
        <v>0</v>
      </c>
      <c r="AS190" s="700">
        <f t="shared" si="162"/>
        <v>0</v>
      </c>
      <c r="AT190" s="700">
        <f t="shared" si="162"/>
        <v>0</v>
      </c>
      <c r="AU190" s="700">
        <f t="shared" si="162"/>
        <v>0</v>
      </c>
      <c r="AV190" s="700">
        <f t="shared" si="162"/>
        <v>0</v>
      </c>
      <c r="AW190" s="700">
        <f t="shared" si="162"/>
        <v>0</v>
      </c>
      <c r="AX190" s="700">
        <f t="shared" si="162"/>
        <v>0</v>
      </c>
      <c r="AY190" s="700">
        <f t="shared" si="162"/>
        <v>0</v>
      </c>
      <c r="AZ190" s="700">
        <f t="shared" si="162"/>
        <v>0</v>
      </c>
      <c r="BA190" s="700">
        <f t="shared" si="162"/>
        <v>0</v>
      </c>
      <c r="BB190" s="700">
        <f t="shared" si="162"/>
        <v>0</v>
      </c>
      <c r="BC190" s="700">
        <f t="shared" si="162"/>
        <v>0</v>
      </c>
      <c r="BD190" s="700">
        <f t="shared" si="162"/>
        <v>0</v>
      </c>
      <c r="BE190" s="701"/>
      <c r="BF190" s="701"/>
      <c r="BG190" s="700"/>
      <c r="BH190" s="700"/>
      <c r="BI190" s="699"/>
      <c r="BJ190" s="700"/>
      <c r="BK190" s="700"/>
      <c r="BL190" s="700"/>
      <c r="BM190" s="705"/>
      <c r="BN190" s="646"/>
      <c r="BO190" s="687"/>
      <c r="BQ190" s="652"/>
    </row>
    <row r="191" spans="1:69" ht="78.75" x14ac:dyDescent="0.2">
      <c r="A191" s="123" t="s">
        <v>141</v>
      </c>
      <c r="B191" s="232" t="s">
        <v>245</v>
      </c>
      <c r="C191" s="571" t="s">
        <v>142</v>
      </c>
      <c r="D191" s="232" t="s">
        <v>457</v>
      </c>
      <c r="E191" s="571">
        <v>262</v>
      </c>
      <c r="F191" s="572" t="s">
        <v>63</v>
      </c>
      <c r="G191" s="232"/>
      <c r="H191" s="627">
        <f>346153400</f>
        <v>346153400</v>
      </c>
      <c r="I191" s="635">
        <f t="shared" ref="I191:I219" si="163">L191+P191+T191+X191+AB191+AF191+AJ191+AN191+AR191+AV191+AZ191+BD191</f>
        <v>347010998.5</v>
      </c>
      <c r="J191" s="743">
        <f t="shared" ref="J191:J219" si="164">H191-I191</f>
        <v>-857598.5</v>
      </c>
      <c r="K191" s="627">
        <f t="shared" ref="K191:K203" si="165">N191+R191+V191+Z191+AD191+AH191+AL191+AP191+AT191+AX191+BB191+BG191</f>
        <v>343427931</v>
      </c>
      <c r="L191" s="627"/>
      <c r="M191" s="240"/>
      <c r="N191" s="164"/>
      <c r="O191" s="241"/>
      <c r="P191" s="627"/>
      <c r="Q191" s="554"/>
      <c r="R191" s="164"/>
      <c r="S191" s="241"/>
      <c r="T191" s="627">
        <v>100000000</v>
      </c>
      <c r="U191" s="628">
        <v>100000000</v>
      </c>
      <c r="V191" s="627">
        <v>96416932.5</v>
      </c>
      <c r="W191" s="241"/>
      <c r="X191" s="627">
        <v>165810888</v>
      </c>
      <c r="Y191" s="846">
        <v>165810888</v>
      </c>
      <c r="Z191" s="627">
        <v>165810888</v>
      </c>
      <c r="AA191" s="241">
        <f t="shared" ref="AA191:AA203" si="166">Z191-Y191</f>
        <v>0</v>
      </c>
      <c r="AB191" s="627">
        <v>74116417.5</v>
      </c>
      <c r="AC191" s="910">
        <v>74116417.5</v>
      </c>
      <c r="AD191" s="627">
        <v>74116417.5</v>
      </c>
      <c r="AE191" s="629">
        <f>AD191-AC191</f>
        <v>0</v>
      </c>
      <c r="AF191" s="627">
        <v>7083693</v>
      </c>
      <c r="AG191" s="628">
        <v>7083693</v>
      </c>
      <c r="AH191" s="967">
        <v>7083693</v>
      </c>
      <c r="AI191" s="241"/>
      <c r="AJ191" s="627"/>
      <c r="AK191" s="240"/>
      <c r="AL191" s="164"/>
      <c r="AM191" s="241"/>
      <c r="AN191" s="627"/>
      <c r="AO191" s="240"/>
      <c r="AP191" s="164"/>
      <c r="AQ191" s="241"/>
      <c r="AR191" s="627"/>
      <c r="AS191" s="240"/>
      <c r="AT191" s="164"/>
      <c r="AU191" s="241">
        <f t="shared" ref="AU191:AU201" si="167">AT191-AS191</f>
        <v>0</v>
      </c>
      <c r="AV191" s="627"/>
      <c r="AW191" s="240"/>
      <c r="AX191" s="164"/>
      <c r="AY191" s="241"/>
      <c r="AZ191" s="627"/>
      <c r="BA191" s="240"/>
      <c r="BB191" s="164"/>
      <c r="BC191" s="556"/>
      <c r="BD191" s="627"/>
      <c r="BE191" s="589"/>
      <c r="BF191" s="249"/>
      <c r="BG191" s="132"/>
      <c r="BH191" s="250"/>
      <c r="BI191" s="251" t="s">
        <v>385</v>
      </c>
      <c r="BJ191" s="202"/>
      <c r="BK191" s="202"/>
      <c r="BL191" s="501">
        <f t="shared" ref="BL191:BL203" si="168">H191+BJ191+BK191</f>
        <v>346153400</v>
      </c>
      <c r="BM191" s="158">
        <f>L191+R191+V191+Z191+AD191+AG191</f>
        <v>343427931</v>
      </c>
      <c r="BN191" s="968"/>
      <c r="BO191" s="132"/>
      <c r="BQ191" s="230" t="str">
        <f t="shared" si="158"/>
        <v/>
      </c>
    </row>
    <row r="192" spans="1:69" ht="110.25" x14ac:dyDescent="0.2">
      <c r="A192" s="123" t="s">
        <v>143</v>
      </c>
      <c r="B192" s="232" t="s">
        <v>219</v>
      </c>
      <c r="C192" s="571" t="s">
        <v>144</v>
      </c>
      <c r="D192" s="232" t="s">
        <v>12</v>
      </c>
      <c r="E192" s="571"/>
      <c r="F192" s="572">
        <v>31</v>
      </c>
      <c r="G192" s="571"/>
      <c r="H192" s="627">
        <v>36730300</v>
      </c>
      <c r="I192" s="635">
        <f t="shared" si="163"/>
        <v>36050070</v>
      </c>
      <c r="J192" s="743">
        <f t="shared" si="164"/>
        <v>680230</v>
      </c>
      <c r="K192" s="627">
        <f t="shared" si="165"/>
        <v>36050070</v>
      </c>
      <c r="L192" s="627"/>
      <c r="M192" s="240"/>
      <c r="N192" s="164"/>
      <c r="O192" s="241"/>
      <c r="P192" s="627"/>
      <c r="Q192" s="554"/>
      <c r="R192" s="164"/>
      <c r="S192" s="241"/>
      <c r="T192" s="627"/>
      <c r="U192" s="628"/>
      <c r="V192" s="627"/>
      <c r="W192" s="241"/>
      <c r="X192" s="627"/>
      <c r="Y192" s="846"/>
      <c r="Z192" s="164"/>
      <c r="AA192" s="241">
        <f t="shared" si="166"/>
        <v>0</v>
      </c>
      <c r="AB192" s="627">
        <v>36050070</v>
      </c>
      <c r="AC192" s="846">
        <v>36050070</v>
      </c>
      <c r="AD192" s="61">
        <v>36050070</v>
      </c>
      <c r="AE192" s="629">
        <f>AD192-AC192</f>
        <v>0</v>
      </c>
      <c r="AF192" s="627"/>
      <c r="AG192" s="628"/>
      <c r="AH192" s="967"/>
      <c r="AI192" s="241">
        <f>AH192-AG192</f>
        <v>0</v>
      </c>
      <c r="AJ192" s="627"/>
      <c r="AK192" s="240"/>
      <c r="AL192" s="164"/>
      <c r="AM192" s="241"/>
      <c r="AN192" s="627"/>
      <c r="AO192" s="240"/>
      <c r="AP192" s="164"/>
      <c r="AQ192" s="241"/>
      <c r="AR192" s="627"/>
      <c r="AS192" s="240"/>
      <c r="AT192" s="164"/>
      <c r="AU192" s="241">
        <f t="shared" si="167"/>
        <v>0</v>
      </c>
      <c r="AV192" s="627"/>
      <c r="AW192" s="240"/>
      <c r="AX192" s="164"/>
      <c r="AY192" s="241"/>
      <c r="AZ192" s="627"/>
      <c r="BA192" s="240"/>
      <c r="BB192" s="164"/>
      <c r="BC192" s="556"/>
      <c r="BD192" s="627"/>
      <c r="BE192" s="264"/>
      <c r="BF192" s="249"/>
      <c r="BG192" s="132"/>
      <c r="BH192" s="250"/>
      <c r="BI192" s="251" t="s">
        <v>385</v>
      </c>
      <c r="BJ192" s="202"/>
      <c r="BK192" s="202"/>
      <c r="BL192" s="501">
        <f t="shared" si="168"/>
        <v>36730300</v>
      </c>
      <c r="BM192" s="158">
        <f>L192+R192+V192+Z192+AD192+AG192</f>
        <v>36050070</v>
      </c>
      <c r="BN192" s="968"/>
      <c r="BO192" s="132"/>
      <c r="BQ192" s="230" t="str">
        <f t="shared" si="158"/>
        <v/>
      </c>
    </row>
    <row r="193" spans="1:69" ht="78.75" x14ac:dyDescent="0.2">
      <c r="A193" s="123" t="s">
        <v>145</v>
      </c>
      <c r="B193" s="232" t="s">
        <v>245</v>
      </c>
      <c r="C193" s="571" t="s">
        <v>146</v>
      </c>
      <c r="D193" s="232" t="s">
        <v>457</v>
      </c>
      <c r="E193" s="571">
        <v>262</v>
      </c>
      <c r="F193" s="572" t="s">
        <v>63</v>
      </c>
      <c r="G193" s="571"/>
      <c r="H193" s="627">
        <v>15741500</v>
      </c>
      <c r="I193" s="635">
        <f t="shared" si="163"/>
        <v>15348001.5</v>
      </c>
      <c r="J193" s="743">
        <f t="shared" si="164"/>
        <v>393498.5</v>
      </c>
      <c r="K193" s="627">
        <f t="shared" si="165"/>
        <v>0</v>
      </c>
      <c r="L193" s="627"/>
      <c r="M193" s="240"/>
      <c r="N193" s="164"/>
      <c r="O193" s="241"/>
      <c r="P193" s="627"/>
      <c r="Q193" s="554"/>
      <c r="R193" s="164"/>
      <c r="S193" s="241"/>
      <c r="T193" s="627"/>
      <c r="U193" s="628"/>
      <c r="V193" s="627"/>
      <c r="W193" s="241"/>
      <c r="X193" s="627"/>
      <c r="Y193" s="846"/>
      <c r="Z193" s="164"/>
      <c r="AA193" s="241">
        <f t="shared" si="166"/>
        <v>0</v>
      </c>
      <c r="AB193" s="627"/>
      <c r="AC193" s="240"/>
      <c r="AD193" s="164"/>
      <c r="AE193" s="241"/>
      <c r="AF193" s="627"/>
      <c r="AG193" s="628"/>
      <c r="AH193" s="967"/>
      <c r="AI193" s="241"/>
      <c r="AJ193" s="627">
        <v>15348001.5</v>
      </c>
      <c r="AK193" s="846">
        <v>15348001.5</v>
      </c>
      <c r="AL193" s="164"/>
      <c r="AM193" s="629">
        <f>AL193-AK193</f>
        <v>-15348001.5</v>
      </c>
      <c r="AN193" s="627"/>
      <c r="AO193" s="240"/>
      <c r="AP193" s="164"/>
      <c r="AQ193" s="241"/>
      <c r="AR193" s="627"/>
      <c r="AS193" s="240"/>
      <c r="AT193" s="164"/>
      <c r="AU193" s="241">
        <f t="shared" si="167"/>
        <v>0</v>
      </c>
      <c r="AV193" s="627"/>
      <c r="AW193" s="240"/>
      <c r="AX193" s="164"/>
      <c r="AY193" s="241"/>
      <c r="AZ193" s="627"/>
      <c r="BA193" s="240"/>
      <c r="BB193" s="164"/>
      <c r="BC193" s="556"/>
      <c r="BD193" s="627"/>
      <c r="BE193" s="589"/>
      <c r="BF193" s="249"/>
      <c r="BG193" s="132"/>
      <c r="BH193" s="250"/>
      <c r="BI193" s="251" t="s">
        <v>385</v>
      </c>
      <c r="BJ193" s="202"/>
      <c r="BK193" s="202"/>
      <c r="BL193" s="501">
        <f t="shared" si="168"/>
        <v>15741500</v>
      </c>
      <c r="BM193" s="158">
        <f>L193+R193+V193+Z193+AD193+AG193</f>
        <v>0</v>
      </c>
      <c r="BN193" s="968"/>
      <c r="BO193" s="132"/>
      <c r="BQ193" s="230" t="str">
        <f t="shared" si="158"/>
        <v/>
      </c>
    </row>
    <row r="194" spans="1:69" ht="53.25" customHeight="1" x14ac:dyDescent="0.2">
      <c r="A194" s="123" t="s">
        <v>353</v>
      </c>
      <c r="B194" s="232" t="s">
        <v>380</v>
      </c>
      <c r="C194" s="571" t="s">
        <v>379</v>
      </c>
      <c r="D194" s="232" t="s">
        <v>381</v>
      </c>
      <c r="E194" s="232" t="s">
        <v>458</v>
      </c>
      <c r="F194" s="572" t="s">
        <v>63</v>
      </c>
      <c r="G194" s="571"/>
      <c r="H194" s="627">
        <v>74826900</v>
      </c>
      <c r="I194" s="635">
        <f t="shared" si="163"/>
        <v>74826900</v>
      </c>
      <c r="J194" s="743">
        <f t="shared" si="164"/>
        <v>0</v>
      </c>
      <c r="K194" s="627">
        <f t="shared" si="165"/>
        <v>74826900</v>
      </c>
      <c r="L194" s="627"/>
      <c r="M194" s="240"/>
      <c r="N194" s="164"/>
      <c r="O194" s="241"/>
      <c r="P194" s="627"/>
      <c r="Q194" s="554"/>
      <c r="R194" s="164"/>
      <c r="S194" s="241"/>
      <c r="T194" s="627">
        <v>74826900</v>
      </c>
      <c r="U194" s="628">
        <v>74826900</v>
      </c>
      <c r="V194" s="627">
        <v>74826900</v>
      </c>
      <c r="W194" s="241"/>
      <c r="X194" s="627"/>
      <c r="Y194" s="846"/>
      <c r="Z194" s="164"/>
      <c r="AA194" s="241"/>
      <c r="AB194" s="627"/>
      <c r="AC194" s="240"/>
      <c r="AD194" s="164"/>
      <c r="AE194" s="241"/>
      <c r="AF194" s="627"/>
      <c r="AG194" s="628"/>
      <c r="AH194" s="967"/>
      <c r="AI194" s="241"/>
      <c r="AJ194" s="627"/>
      <c r="AK194" s="240"/>
      <c r="AL194" s="164"/>
      <c r="AM194" s="241"/>
      <c r="AN194" s="627"/>
      <c r="AO194" s="240"/>
      <c r="AP194" s="164"/>
      <c r="AQ194" s="241"/>
      <c r="AR194" s="627"/>
      <c r="AS194" s="240"/>
      <c r="AT194" s="164"/>
      <c r="AU194" s="241">
        <f t="shared" si="167"/>
        <v>0</v>
      </c>
      <c r="AV194" s="627"/>
      <c r="AW194" s="240"/>
      <c r="AX194" s="164"/>
      <c r="AY194" s="241">
        <f t="shared" ref="AY194:AY201" si="169">AX194-AW194</f>
        <v>0</v>
      </c>
      <c r="AZ194" s="627"/>
      <c r="BA194" s="240"/>
      <c r="BB194" s="164"/>
      <c r="BC194" s="556"/>
      <c r="BD194" s="627"/>
      <c r="BE194" s="264"/>
      <c r="BF194" s="249"/>
      <c r="BG194" s="132"/>
      <c r="BH194" s="250"/>
      <c r="BI194" s="251" t="s">
        <v>385</v>
      </c>
      <c r="BJ194" s="531"/>
      <c r="BK194" s="202"/>
      <c r="BL194" s="501">
        <f t="shared" si="168"/>
        <v>74826900</v>
      </c>
      <c r="BM194" s="158"/>
      <c r="BN194" s="968"/>
      <c r="BO194" s="132"/>
      <c r="BQ194" s="230"/>
    </row>
    <row r="195" spans="1:69" ht="189" x14ac:dyDescent="0.2">
      <c r="A195" s="423" t="s">
        <v>147</v>
      </c>
      <c r="B195" s="232" t="s">
        <v>245</v>
      </c>
      <c r="C195" s="571" t="s">
        <v>148</v>
      </c>
      <c r="D195" s="232" t="s">
        <v>381</v>
      </c>
      <c r="E195" s="571">
        <v>251</v>
      </c>
      <c r="F195" s="572" t="s">
        <v>63</v>
      </c>
      <c r="G195" s="571"/>
      <c r="H195" s="627">
        <v>31483100</v>
      </c>
      <c r="I195" s="635">
        <f t="shared" si="163"/>
        <v>31483100</v>
      </c>
      <c r="J195" s="743">
        <f t="shared" si="164"/>
        <v>0</v>
      </c>
      <c r="K195" s="627">
        <f t="shared" si="165"/>
        <v>31483100</v>
      </c>
      <c r="L195" s="627"/>
      <c r="M195" s="240"/>
      <c r="N195" s="164"/>
      <c r="O195" s="241"/>
      <c r="P195" s="627"/>
      <c r="Q195" s="554"/>
      <c r="R195" s="164"/>
      <c r="S195" s="241"/>
      <c r="T195" s="627"/>
      <c r="U195" s="240"/>
      <c r="V195" s="627"/>
      <c r="W195" s="241"/>
      <c r="X195" s="627"/>
      <c r="Y195" s="846"/>
      <c r="Z195" s="164"/>
      <c r="AA195" s="241">
        <f t="shared" si="166"/>
        <v>0</v>
      </c>
      <c r="AB195" s="627"/>
      <c r="AC195" s="233"/>
      <c r="AD195" s="164"/>
      <c r="AE195" s="241"/>
      <c r="AF195" s="627">
        <v>31483100</v>
      </c>
      <c r="AG195" s="628">
        <v>31483100</v>
      </c>
      <c r="AH195" s="967">
        <v>31483100</v>
      </c>
      <c r="AI195" s="629">
        <f>AH195-AG195</f>
        <v>0</v>
      </c>
      <c r="AJ195" s="627"/>
      <c r="AK195" s="240"/>
      <c r="AL195" s="164"/>
      <c r="AM195" s="241"/>
      <c r="AN195" s="627"/>
      <c r="AO195" s="240"/>
      <c r="AP195" s="164"/>
      <c r="AQ195" s="241"/>
      <c r="AR195" s="627"/>
      <c r="AS195" s="240"/>
      <c r="AT195" s="164"/>
      <c r="AU195" s="241">
        <f t="shared" si="167"/>
        <v>0</v>
      </c>
      <c r="AV195" s="627"/>
      <c r="AW195" s="240"/>
      <c r="AX195" s="164"/>
      <c r="AY195" s="241">
        <f t="shared" si="169"/>
        <v>0</v>
      </c>
      <c r="AZ195" s="627"/>
      <c r="BA195" s="240"/>
      <c r="BB195" s="164"/>
      <c r="BC195" s="556"/>
      <c r="BD195" s="627"/>
      <c r="BE195" s="264"/>
      <c r="BF195" s="249"/>
      <c r="BG195" s="132"/>
      <c r="BH195" s="250"/>
      <c r="BI195" s="251" t="s">
        <v>385</v>
      </c>
      <c r="BJ195" s="202"/>
      <c r="BK195" s="202"/>
      <c r="BL195" s="501">
        <f t="shared" si="168"/>
        <v>31483100</v>
      </c>
      <c r="BM195" s="158">
        <f>L195+R195+V195+Z195+AD195+AG195</f>
        <v>31483100</v>
      </c>
      <c r="BN195" s="968"/>
      <c r="BO195" s="132"/>
      <c r="BQ195" s="230" t="str">
        <f>IF(BJ195&gt;0,BJ195,"")</f>
        <v/>
      </c>
    </row>
    <row r="196" spans="1:69" ht="23.25" customHeight="1" x14ac:dyDescent="0.2">
      <c r="A196" s="1121" t="s">
        <v>305</v>
      </c>
      <c r="B196" s="232" t="s">
        <v>219</v>
      </c>
      <c r="C196" s="571" t="s">
        <v>325</v>
      </c>
      <c r="D196" s="232" t="s">
        <v>12</v>
      </c>
      <c r="E196" s="571">
        <v>245</v>
      </c>
      <c r="F196" s="572">
        <v>31</v>
      </c>
      <c r="G196" s="242" t="s">
        <v>525</v>
      </c>
      <c r="H196" s="627">
        <f>17700+40</f>
        <v>17740</v>
      </c>
      <c r="I196" s="635">
        <f t="shared" si="163"/>
        <v>17740</v>
      </c>
      <c r="J196" s="743">
        <f t="shared" si="164"/>
        <v>0</v>
      </c>
      <c r="K196" s="627">
        <f t="shared" si="165"/>
        <v>16765.04</v>
      </c>
      <c r="L196" s="627"/>
      <c r="M196" s="240"/>
      <c r="N196" s="164"/>
      <c r="O196" s="241"/>
      <c r="P196" s="627"/>
      <c r="Q196" s="554"/>
      <c r="R196" s="164"/>
      <c r="S196" s="241"/>
      <c r="T196" s="627"/>
      <c r="U196" s="240"/>
      <c r="V196" s="627"/>
      <c r="W196" s="241"/>
      <c r="X196" s="627"/>
      <c r="Y196" s="846"/>
      <c r="Z196" s="164"/>
      <c r="AA196" s="241">
        <f t="shared" si="166"/>
        <v>0</v>
      </c>
      <c r="AB196" s="627"/>
      <c r="AC196" s="233"/>
      <c r="AD196" s="164"/>
      <c r="AE196" s="241"/>
      <c r="AF196" s="627"/>
      <c r="AG196" s="240"/>
      <c r="AH196" s="164"/>
      <c r="AI196" s="629">
        <f>AH196-AG196</f>
        <v>0</v>
      </c>
      <c r="AJ196" s="976">
        <v>17740</v>
      </c>
      <c r="AK196" s="240">
        <v>17740</v>
      </c>
      <c r="AL196" s="164">
        <v>16765.04</v>
      </c>
      <c r="AM196" s="629">
        <f>AL196-AK196</f>
        <v>-974.95999999999913</v>
      </c>
      <c r="AN196" s="627"/>
      <c r="AO196" s="240"/>
      <c r="AP196" s="164"/>
      <c r="AQ196" s="241"/>
      <c r="AR196" s="627"/>
      <c r="AS196" s="240"/>
      <c r="AT196" s="164"/>
      <c r="AU196" s="241">
        <f t="shared" si="167"/>
        <v>0</v>
      </c>
      <c r="AV196" s="627"/>
      <c r="AW196" s="240"/>
      <c r="AX196" s="164"/>
      <c r="AY196" s="241">
        <f t="shared" si="169"/>
        <v>0</v>
      </c>
      <c r="AZ196" s="627"/>
      <c r="BA196" s="240"/>
      <c r="BB196" s="164"/>
      <c r="BC196" s="556">
        <f t="shared" ref="BC196:BC206" si="170">BB196-BA196</f>
        <v>0</v>
      </c>
      <c r="BD196" s="627"/>
      <c r="BE196" s="264"/>
      <c r="BF196" s="249"/>
      <c r="BG196" s="132"/>
      <c r="BH196" s="556">
        <f>BG196-BF196</f>
        <v>0</v>
      </c>
      <c r="BI196" s="251" t="s">
        <v>385</v>
      </c>
      <c r="BJ196" s="202"/>
      <c r="BK196" s="202"/>
      <c r="BL196" s="501">
        <f t="shared" si="168"/>
        <v>17740</v>
      </c>
      <c r="BM196" s="158"/>
      <c r="BN196" s="1171" t="s">
        <v>660</v>
      </c>
      <c r="BO196" s="132"/>
      <c r="BQ196" s="230"/>
    </row>
    <row r="197" spans="1:69" ht="23.25" customHeight="1" x14ac:dyDescent="0.2">
      <c r="A197" s="1122"/>
      <c r="B197" s="232" t="s">
        <v>219</v>
      </c>
      <c r="C197" s="571" t="s">
        <v>325</v>
      </c>
      <c r="D197" s="232" t="s">
        <v>12</v>
      </c>
      <c r="E197" s="571">
        <v>246</v>
      </c>
      <c r="F197" s="572">
        <v>31</v>
      </c>
      <c r="G197" s="242" t="s">
        <v>525</v>
      </c>
      <c r="H197" s="1014"/>
      <c r="I197" s="635">
        <f t="shared" ref="I197:I198" si="171">L197+P197+T197+X197+AB197+AF197+AJ197+AN197+AR197+AV197+AZ197+BD197</f>
        <v>0</v>
      </c>
      <c r="J197" s="743">
        <f t="shared" ref="J197:J198" si="172">H197-I197</f>
        <v>0</v>
      </c>
      <c r="K197" s="1014">
        <f t="shared" ref="K197:K198" si="173">N197+R197+V197+Z197+AD197+AH197+AL197+AP197+AT197+AX197+BB197+BG197</f>
        <v>0</v>
      </c>
      <c r="L197" s="1014"/>
      <c r="M197" s="240"/>
      <c r="N197" s="1015"/>
      <c r="O197" s="241"/>
      <c r="P197" s="1014"/>
      <c r="Q197" s="554"/>
      <c r="R197" s="1015"/>
      <c r="S197" s="241"/>
      <c r="T197" s="1014"/>
      <c r="U197" s="240"/>
      <c r="V197" s="1014"/>
      <c r="W197" s="241"/>
      <c r="X197" s="1014"/>
      <c r="Y197" s="846"/>
      <c r="Z197" s="1015"/>
      <c r="AA197" s="241"/>
      <c r="AB197" s="1014"/>
      <c r="AC197" s="233"/>
      <c r="AD197" s="1015"/>
      <c r="AE197" s="241"/>
      <c r="AF197" s="1014"/>
      <c r="AG197" s="240"/>
      <c r="AH197" s="1015"/>
      <c r="AI197" s="629"/>
      <c r="AJ197" s="1014"/>
      <c r="AK197" s="240"/>
      <c r="AL197" s="1015"/>
      <c r="AM197" s="629"/>
      <c r="AN197" s="1014"/>
      <c r="AO197" s="240"/>
      <c r="AP197" s="1015"/>
      <c r="AQ197" s="241"/>
      <c r="AR197" s="1014"/>
      <c r="AS197" s="240"/>
      <c r="AT197" s="1015"/>
      <c r="AU197" s="241"/>
      <c r="AV197" s="1014"/>
      <c r="AW197" s="240"/>
      <c r="AX197" s="1015"/>
      <c r="AY197" s="241"/>
      <c r="AZ197" s="1014"/>
      <c r="BA197" s="240"/>
      <c r="BB197" s="1015"/>
      <c r="BC197" s="556"/>
      <c r="BD197" s="1014"/>
      <c r="BE197" s="264"/>
      <c r="BF197" s="249"/>
      <c r="BG197" s="132"/>
      <c r="BH197" s="556"/>
      <c r="BI197" s="251"/>
      <c r="BJ197" s="202"/>
      <c r="BK197" s="202"/>
      <c r="BL197" s="501"/>
      <c r="BM197" s="158"/>
      <c r="BN197" s="1171"/>
      <c r="BO197" s="132"/>
      <c r="BQ197" s="230"/>
    </row>
    <row r="198" spans="1:69" ht="23.25" customHeight="1" x14ac:dyDescent="0.2">
      <c r="A198" s="1122"/>
      <c r="B198" s="232" t="s">
        <v>219</v>
      </c>
      <c r="C198" s="533" t="s">
        <v>325</v>
      </c>
      <c r="D198" s="533" t="s">
        <v>12</v>
      </c>
      <c r="E198" s="533" t="s">
        <v>221</v>
      </c>
      <c r="F198" s="535" t="s">
        <v>16</v>
      </c>
      <c r="G198" s="536" t="s">
        <v>525</v>
      </c>
      <c r="H198" s="1014">
        <v>337100</v>
      </c>
      <c r="I198" s="635">
        <f t="shared" si="171"/>
        <v>337100</v>
      </c>
      <c r="J198" s="743">
        <f t="shared" si="172"/>
        <v>0</v>
      </c>
      <c r="K198" s="1014">
        <f t="shared" si="173"/>
        <v>318573.61</v>
      </c>
      <c r="L198" s="1014"/>
      <c r="M198" s="240"/>
      <c r="N198" s="1015"/>
      <c r="O198" s="241"/>
      <c r="P198" s="1014"/>
      <c r="Q198" s="554"/>
      <c r="R198" s="1015"/>
      <c r="S198" s="241"/>
      <c r="T198" s="1014"/>
      <c r="U198" s="240"/>
      <c r="V198" s="1014"/>
      <c r="W198" s="241"/>
      <c r="X198" s="1014"/>
      <c r="Y198" s="846"/>
      <c r="Z198" s="1015"/>
      <c r="AA198" s="241"/>
      <c r="AB198" s="1014"/>
      <c r="AC198" s="233"/>
      <c r="AD198" s="1015"/>
      <c r="AE198" s="241"/>
      <c r="AF198" s="1014"/>
      <c r="AG198" s="240"/>
      <c r="AH198" s="1015"/>
      <c r="AI198" s="629"/>
      <c r="AJ198" s="1014">
        <v>337100</v>
      </c>
      <c r="AK198" s="240">
        <v>337100</v>
      </c>
      <c r="AL198" s="1014">
        <v>318573.61</v>
      </c>
      <c r="AM198" s="629">
        <f>AL198-AK198</f>
        <v>-18526.390000000014</v>
      </c>
      <c r="AN198" s="1014"/>
      <c r="AO198" s="240"/>
      <c r="AP198" s="1015"/>
      <c r="AQ198" s="241"/>
      <c r="AR198" s="1014"/>
      <c r="AS198" s="240"/>
      <c r="AT198" s="1015"/>
      <c r="AU198" s="241"/>
      <c r="AV198" s="1014"/>
      <c r="AW198" s="240"/>
      <c r="AX198" s="1015"/>
      <c r="AY198" s="241"/>
      <c r="AZ198" s="1014"/>
      <c r="BA198" s="240"/>
      <c r="BB198" s="1015"/>
      <c r="BC198" s="556"/>
      <c r="BD198" s="1014"/>
      <c r="BE198" s="264"/>
      <c r="BF198" s="249"/>
      <c r="BG198" s="132"/>
      <c r="BH198" s="556"/>
      <c r="BI198" s="251"/>
      <c r="BJ198" s="202"/>
      <c r="BK198" s="202"/>
      <c r="BL198" s="501"/>
      <c r="BM198" s="158"/>
      <c r="BN198" s="1171"/>
      <c r="BO198" s="132"/>
      <c r="BQ198" s="230"/>
    </row>
    <row r="199" spans="1:69" ht="23.25" customHeight="1" x14ac:dyDescent="0.2">
      <c r="A199" s="1123"/>
      <c r="B199" s="232" t="s">
        <v>219</v>
      </c>
      <c r="C199" s="533" t="s">
        <v>325</v>
      </c>
      <c r="D199" s="533" t="s">
        <v>12</v>
      </c>
      <c r="E199" s="533" t="s">
        <v>231</v>
      </c>
      <c r="F199" s="535" t="s">
        <v>16</v>
      </c>
      <c r="G199" s="536" t="s">
        <v>525</v>
      </c>
      <c r="H199" s="627">
        <v>337100</v>
      </c>
      <c r="I199" s="635">
        <f t="shared" si="163"/>
        <v>0</v>
      </c>
      <c r="J199" s="743">
        <f t="shared" si="164"/>
        <v>337100</v>
      </c>
      <c r="K199" s="627">
        <f t="shared" si="165"/>
        <v>0</v>
      </c>
      <c r="L199" s="627"/>
      <c r="M199" s="240"/>
      <c r="N199" s="164"/>
      <c r="O199" s="241"/>
      <c r="P199" s="627"/>
      <c r="Q199" s="554"/>
      <c r="R199" s="164"/>
      <c r="S199" s="241"/>
      <c r="T199" s="627"/>
      <c r="U199" s="240"/>
      <c r="V199" s="627"/>
      <c r="W199" s="241"/>
      <c r="X199" s="627"/>
      <c r="Y199" s="846"/>
      <c r="Z199" s="164"/>
      <c r="AA199" s="241">
        <f t="shared" si="166"/>
        <v>0</v>
      </c>
      <c r="AB199" s="627"/>
      <c r="AC199" s="233"/>
      <c r="AD199" s="164"/>
      <c r="AE199" s="241"/>
      <c r="AF199" s="627"/>
      <c r="AG199" s="240"/>
      <c r="AH199" s="164"/>
      <c r="AI199" s="629">
        <f>AH199-AG199</f>
        <v>0</v>
      </c>
      <c r="AJ199" s="976"/>
      <c r="AK199" s="240"/>
      <c r="AL199" s="1014"/>
      <c r="AM199" s="629">
        <f>AL199-AK199</f>
        <v>0</v>
      </c>
      <c r="AN199" s="627"/>
      <c r="AO199" s="240"/>
      <c r="AP199" s="164"/>
      <c r="AQ199" s="241"/>
      <c r="AR199" s="627"/>
      <c r="AS199" s="240"/>
      <c r="AT199" s="164"/>
      <c r="AU199" s="241">
        <f t="shared" si="167"/>
        <v>0</v>
      </c>
      <c r="AV199" s="627"/>
      <c r="AW199" s="240"/>
      <c r="AX199" s="164"/>
      <c r="AY199" s="241">
        <f t="shared" si="169"/>
        <v>0</v>
      </c>
      <c r="AZ199" s="627"/>
      <c r="BA199" s="240"/>
      <c r="BB199" s="164"/>
      <c r="BC199" s="556">
        <f t="shared" si="170"/>
        <v>0</v>
      </c>
      <c r="BD199" s="627"/>
      <c r="BE199" s="264"/>
      <c r="BF199" s="249"/>
      <c r="BG199" s="132"/>
      <c r="BH199" s="556">
        <f>BG199-BF199</f>
        <v>0</v>
      </c>
      <c r="BI199" s="251" t="s">
        <v>385</v>
      </c>
      <c r="BJ199" s="202"/>
      <c r="BK199" s="202"/>
      <c r="BL199" s="501">
        <f t="shared" si="168"/>
        <v>337100</v>
      </c>
      <c r="BM199" s="158"/>
      <c r="BN199" s="1171"/>
      <c r="BO199" s="132"/>
      <c r="BQ199" s="230"/>
    </row>
    <row r="200" spans="1:69" ht="42" customHeight="1" x14ac:dyDescent="0.2">
      <c r="A200" s="1124" t="s">
        <v>306</v>
      </c>
      <c r="B200" s="232" t="s">
        <v>378</v>
      </c>
      <c r="C200" s="571" t="s">
        <v>324</v>
      </c>
      <c r="D200" s="232" t="s">
        <v>12</v>
      </c>
      <c r="E200" s="571">
        <v>245</v>
      </c>
      <c r="F200" s="572">
        <v>31</v>
      </c>
      <c r="G200" s="242" t="s">
        <v>524</v>
      </c>
      <c r="H200" s="627">
        <v>46260</v>
      </c>
      <c r="I200" s="635">
        <f t="shared" si="163"/>
        <v>46260</v>
      </c>
      <c r="J200" s="743">
        <f t="shared" si="164"/>
        <v>0</v>
      </c>
      <c r="K200" s="627">
        <f t="shared" si="165"/>
        <v>0</v>
      </c>
      <c r="L200" s="627"/>
      <c r="M200" s="240"/>
      <c r="N200" s="164"/>
      <c r="O200" s="241"/>
      <c r="P200" s="627"/>
      <c r="Q200" s="554"/>
      <c r="R200" s="164"/>
      <c r="S200" s="241"/>
      <c r="T200" s="627"/>
      <c r="U200" s="240"/>
      <c r="V200" s="164"/>
      <c r="W200" s="241"/>
      <c r="X200" s="627"/>
      <c r="Y200" s="846"/>
      <c r="Z200" s="164"/>
      <c r="AA200" s="241">
        <f t="shared" si="166"/>
        <v>0</v>
      </c>
      <c r="AB200" s="627"/>
      <c r="AC200" s="233"/>
      <c r="AD200" s="164"/>
      <c r="AE200" s="241"/>
      <c r="AF200" s="627"/>
      <c r="AG200" s="628"/>
      <c r="AH200" s="164"/>
      <c r="AI200" s="629">
        <f>AH200-AG200</f>
        <v>0</v>
      </c>
      <c r="AJ200" s="627">
        <v>10795.47</v>
      </c>
      <c r="AK200" s="240">
        <v>10795.47</v>
      </c>
      <c r="AL200" s="164"/>
      <c r="AM200" s="629">
        <f>AL200-AK200</f>
        <v>-10795.47</v>
      </c>
      <c r="AN200" s="627">
        <v>5755.1</v>
      </c>
      <c r="AO200" s="240"/>
      <c r="AP200" s="164"/>
      <c r="AQ200" s="241"/>
      <c r="AR200" s="627">
        <v>5500.24</v>
      </c>
      <c r="AS200" s="240"/>
      <c r="AT200" s="164"/>
      <c r="AU200" s="241">
        <f t="shared" si="167"/>
        <v>0</v>
      </c>
      <c r="AV200" s="627"/>
      <c r="AW200" s="240"/>
      <c r="AX200" s="164"/>
      <c r="AY200" s="241">
        <f t="shared" si="169"/>
        <v>0</v>
      </c>
      <c r="AZ200" s="627"/>
      <c r="BA200" s="240"/>
      <c r="BB200" s="164"/>
      <c r="BC200" s="556">
        <f t="shared" si="170"/>
        <v>0</v>
      </c>
      <c r="BD200" s="627">
        <v>24209.19</v>
      </c>
      <c r="BE200" s="164"/>
      <c r="BF200" s="240"/>
      <c r="BG200" s="132"/>
      <c r="BH200" s="556">
        <f>BG200-BF200</f>
        <v>0</v>
      </c>
      <c r="BI200" s="251"/>
      <c r="BJ200" s="202"/>
      <c r="BK200" s="202"/>
      <c r="BL200" s="501">
        <f t="shared" si="168"/>
        <v>46260</v>
      </c>
      <c r="BM200" s="158"/>
      <c r="BN200" s="1171" t="s">
        <v>660</v>
      </c>
      <c r="BO200" s="132"/>
      <c r="BQ200" s="230"/>
    </row>
    <row r="201" spans="1:69" ht="42" customHeight="1" x14ac:dyDescent="0.2">
      <c r="A201" s="1125"/>
      <c r="B201" s="232" t="s">
        <v>378</v>
      </c>
      <c r="C201" s="533" t="s">
        <v>324</v>
      </c>
      <c r="D201" s="533" t="s">
        <v>12</v>
      </c>
      <c r="E201" s="533" t="s">
        <v>221</v>
      </c>
      <c r="F201" s="535" t="s">
        <v>16</v>
      </c>
      <c r="G201" s="536" t="s">
        <v>524</v>
      </c>
      <c r="H201" s="627">
        <v>878900</v>
      </c>
      <c r="I201" s="635">
        <f t="shared" si="163"/>
        <v>878900</v>
      </c>
      <c r="J201" s="743">
        <f t="shared" si="164"/>
        <v>0</v>
      </c>
      <c r="K201" s="627">
        <f t="shared" si="165"/>
        <v>205104.53</v>
      </c>
      <c r="L201" s="627"/>
      <c r="M201" s="240"/>
      <c r="N201" s="164"/>
      <c r="O201" s="241"/>
      <c r="P201" s="627"/>
      <c r="Q201" s="554"/>
      <c r="R201" s="164"/>
      <c r="S201" s="241"/>
      <c r="T201" s="627"/>
      <c r="U201" s="240"/>
      <c r="V201" s="164"/>
      <c r="W201" s="241"/>
      <c r="X201" s="627"/>
      <c r="Y201" s="846"/>
      <c r="Z201" s="164"/>
      <c r="AA201" s="241">
        <f t="shared" si="166"/>
        <v>0</v>
      </c>
      <c r="AB201" s="627"/>
      <c r="AC201" s="233"/>
      <c r="AD201" s="164"/>
      <c r="AE201" s="241"/>
      <c r="AF201" s="627"/>
      <c r="AG201" s="628"/>
      <c r="AH201" s="164"/>
      <c r="AI201" s="629">
        <f>AH201-AG201</f>
        <v>0</v>
      </c>
      <c r="AJ201" s="627">
        <v>205104.53</v>
      </c>
      <c r="AK201" s="240">
        <v>205104.53</v>
      </c>
      <c r="AL201" s="921">
        <v>205104.53</v>
      </c>
      <c r="AM201" s="629">
        <f>AL201-AK201</f>
        <v>0</v>
      </c>
      <c r="AN201" s="627">
        <v>109341.9</v>
      </c>
      <c r="AO201" s="240"/>
      <c r="AP201" s="164"/>
      <c r="AQ201" s="241"/>
      <c r="AR201" s="627">
        <v>104499.76</v>
      </c>
      <c r="AS201" s="240"/>
      <c r="AT201" s="164"/>
      <c r="AU201" s="241">
        <f t="shared" si="167"/>
        <v>0</v>
      </c>
      <c r="AV201" s="627"/>
      <c r="AW201" s="240"/>
      <c r="AX201" s="164"/>
      <c r="AY201" s="241">
        <f t="shared" si="169"/>
        <v>0</v>
      </c>
      <c r="AZ201" s="627"/>
      <c r="BA201" s="240"/>
      <c r="BB201" s="164"/>
      <c r="BC201" s="556">
        <f t="shared" si="170"/>
        <v>0</v>
      </c>
      <c r="BD201" s="627">
        <v>459953.81</v>
      </c>
      <c r="BE201" s="164"/>
      <c r="BF201" s="240"/>
      <c r="BG201" s="132"/>
      <c r="BH201" s="556">
        <f>BG201-BF201</f>
        <v>0</v>
      </c>
      <c r="BI201" s="251"/>
      <c r="BJ201" s="202"/>
      <c r="BK201" s="202"/>
      <c r="BL201" s="501">
        <f t="shared" si="168"/>
        <v>878900</v>
      </c>
      <c r="BM201" s="158"/>
      <c r="BN201" s="1171"/>
      <c r="BO201" s="132"/>
      <c r="BQ201" s="230"/>
    </row>
    <row r="202" spans="1:69" ht="24.75" customHeight="1" x14ac:dyDescent="0.2">
      <c r="A202" s="1109" t="s">
        <v>296</v>
      </c>
      <c r="B202" s="232" t="s">
        <v>245</v>
      </c>
      <c r="C202" s="571" t="s">
        <v>323</v>
      </c>
      <c r="D202" s="232" t="s">
        <v>457</v>
      </c>
      <c r="E202" s="571">
        <v>262</v>
      </c>
      <c r="F202" s="572" t="s">
        <v>63</v>
      </c>
      <c r="G202" s="242" t="s">
        <v>454</v>
      </c>
      <c r="H202" s="627">
        <v>3293100</v>
      </c>
      <c r="I202" s="635">
        <f>L202+P202+T202+X202+AB202+AF202+AJ202+AN202+AR202+AV202+AZ202+BD202</f>
        <v>3293100</v>
      </c>
      <c r="J202" s="743">
        <f>H202-I202</f>
        <v>0</v>
      </c>
      <c r="K202" s="627">
        <f t="shared" si="165"/>
        <v>3293100</v>
      </c>
      <c r="L202" s="627"/>
      <c r="M202" s="240"/>
      <c r="N202" s="164"/>
      <c r="O202" s="241"/>
      <c r="P202" s="627"/>
      <c r="Q202" s="554"/>
      <c r="R202" s="164"/>
      <c r="S202" s="241"/>
      <c r="T202" s="25">
        <v>2279034.96</v>
      </c>
      <c r="U202" s="512">
        <v>2279034.96</v>
      </c>
      <c r="V202" s="25">
        <v>2279034.96</v>
      </c>
      <c r="W202" s="241"/>
      <c r="X202" s="627">
        <v>1014065.04</v>
      </c>
      <c r="Y202" s="628">
        <v>1014065.04</v>
      </c>
      <c r="Z202" s="627">
        <v>1014065.04</v>
      </c>
      <c r="AA202" s="241">
        <f t="shared" si="166"/>
        <v>0</v>
      </c>
      <c r="AB202" s="627"/>
      <c r="AC202" s="233"/>
      <c r="AD202" s="164"/>
      <c r="AE202" s="241"/>
      <c r="AF202" s="627"/>
      <c r="AG202" s="240"/>
      <c r="AH202" s="164"/>
      <c r="AI202" s="241"/>
      <c r="AJ202" s="627"/>
      <c r="AK202" s="240"/>
      <c r="AL202" s="164"/>
      <c r="AM202" s="629">
        <f>AL202-AK202</f>
        <v>0</v>
      </c>
      <c r="AN202" s="627"/>
      <c r="AO202" s="240"/>
      <c r="AP202" s="164"/>
      <c r="AQ202" s="241"/>
      <c r="AR202" s="627"/>
      <c r="AS202" s="240"/>
      <c r="AT202" s="164"/>
      <c r="AU202" s="241"/>
      <c r="AV202" s="627"/>
      <c r="AW202" s="240"/>
      <c r="AX202" s="164"/>
      <c r="AY202" s="241"/>
      <c r="AZ202" s="132"/>
      <c r="BA202" s="240"/>
      <c r="BB202" s="164"/>
      <c r="BC202" s="556">
        <f t="shared" si="170"/>
        <v>0</v>
      </c>
      <c r="BD202" s="627"/>
      <c r="BE202" s="264"/>
      <c r="BF202" s="249"/>
      <c r="BG202" s="132"/>
      <c r="BH202" s="250"/>
      <c r="BI202" s="251" t="s">
        <v>385</v>
      </c>
      <c r="BJ202" s="202"/>
      <c r="BK202" s="202"/>
      <c r="BL202" s="501">
        <f t="shared" si="168"/>
        <v>3293100</v>
      </c>
      <c r="BM202" s="158">
        <f>L202+R202+V202+Z202+AD202+AG202</f>
        <v>3293100</v>
      </c>
      <c r="BN202" s="968"/>
      <c r="BO202" s="132"/>
      <c r="BQ202" s="230" t="str">
        <f>IF(BJ202&gt;0,BJ202,"")</f>
        <v/>
      </c>
    </row>
    <row r="203" spans="1:69" ht="24.75" customHeight="1" x14ac:dyDescent="0.2">
      <c r="A203" s="1110"/>
      <c r="B203" s="232" t="s">
        <v>245</v>
      </c>
      <c r="C203" s="533" t="s">
        <v>323</v>
      </c>
      <c r="D203" s="533" t="s">
        <v>457</v>
      </c>
      <c r="E203" s="533" t="s">
        <v>247</v>
      </c>
      <c r="F203" s="535" t="s">
        <v>64</v>
      </c>
      <c r="G203" s="536" t="s">
        <v>454</v>
      </c>
      <c r="H203" s="627">
        <v>9318700</v>
      </c>
      <c r="I203" s="635">
        <f>L203+P203+T203+X203+AB203+AF203+AJ203+AN203+AR203+AV203+AZ203+BD203</f>
        <v>9318700</v>
      </c>
      <c r="J203" s="743">
        <f>H203-I203</f>
        <v>0</v>
      </c>
      <c r="K203" s="627">
        <f t="shared" si="165"/>
        <v>9318700</v>
      </c>
      <c r="L203" s="627"/>
      <c r="M203" s="240"/>
      <c r="N203" s="164"/>
      <c r="O203" s="241"/>
      <c r="P203" s="627"/>
      <c r="Q203" s="554"/>
      <c r="R203" s="164"/>
      <c r="S203" s="241"/>
      <c r="T203" s="25">
        <v>6449133.9800000004</v>
      </c>
      <c r="U203" s="512">
        <v>6449133.9800000004</v>
      </c>
      <c r="V203" s="25">
        <v>6449133.9800000004</v>
      </c>
      <c r="W203" s="241"/>
      <c r="X203" s="627">
        <v>2869566.02</v>
      </c>
      <c r="Y203" s="628">
        <v>2869566.02</v>
      </c>
      <c r="Z203" s="627">
        <v>2869566.02</v>
      </c>
      <c r="AA203" s="241">
        <f t="shared" si="166"/>
        <v>0</v>
      </c>
      <c r="AB203" s="627"/>
      <c r="AC203" s="233"/>
      <c r="AD203" s="164"/>
      <c r="AE203" s="241"/>
      <c r="AF203" s="627"/>
      <c r="AG203" s="240"/>
      <c r="AH203" s="164"/>
      <c r="AI203" s="241"/>
      <c r="AJ203" s="627"/>
      <c r="AK203" s="240"/>
      <c r="AL203" s="164"/>
      <c r="AM203" s="241"/>
      <c r="AN203" s="627"/>
      <c r="AO203" s="240"/>
      <c r="AP203" s="164"/>
      <c r="AQ203" s="241"/>
      <c r="AR203" s="627"/>
      <c r="AS203" s="240"/>
      <c r="AT203" s="164"/>
      <c r="AU203" s="241"/>
      <c r="AV203" s="627"/>
      <c r="AW203" s="240"/>
      <c r="AX203" s="164"/>
      <c r="AY203" s="241"/>
      <c r="AZ203" s="132"/>
      <c r="BA203" s="240"/>
      <c r="BB203" s="164"/>
      <c r="BC203" s="556">
        <f t="shared" si="170"/>
        <v>0</v>
      </c>
      <c r="BD203" s="627"/>
      <c r="BE203" s="264"/>
      <c r="BF203" s="249"/>
      <c r="BG203" s="132"/>
      <c r="BH203" s="250"/>
      <c r="BI203" s="251" t="s">
        <v>385</v>
      </c>
      <c r="BJ203" s="202"/>
      <c r="BK203" s="202"/>
      <c r="BL203" s="501">
        <f t="shared" si="168"/>
        <v>9318700</v>
      </c>
      <c r="BM203" s="158">
        <f>L203+R203+V203+Z203+AD203+AG203</f>
        <v>9318700</v>
      </c>
      <c r="BN203" s="968"/>
      <c r="BO203" s="132"/>
      <c r="BQ203" s="230" t="str">
        <f>IF(BJ203&gt;0,BJ203,"")</f>
        <v/>
      </c>
    </row>
    <row r="204" spans="1:69" s="663" customFormat="1" ht="36" customHeight="1" x14ac:dyDescent="0.2">
      <c r="A204" s="1111" t="s">
        <v>251</v>
      </c>
      <c r="B204" s="1112"/>
      <c r="C204" s="1113"/>
      <c r="D204" s="699"/>
      <c r="E204" s="699"/>
      <c r="F204" s="706" t="s">
        <v>14</v>
      </c>
      <c r="G204" s="699"/>
      <c r="H204" s="744">
        <f>H208+H210</f>
        <v>50000000</v>
      </c>
      <c r="I204" s="744">
        <f t="shared" ref="I204:BD204" si="174">I208+I210</f>
        <v>45109399.5</v>
      </c>
      <c r="J204" s="744">
        <f t="shared" si="174"/>
        <v>4890600.5</v>
      </c>
      <c r="K204" s="744">
        <f t="shared" si="174"/>
        <v>0</v>
      </c>
      <c r="L204" s="744">
        <f t="shared" si="174"/>
        <v>0</v>
      </c>
      <c r="M204" s="649">
        <f t="shared" si="174"/>
        <v>0</v>
      </c>
      <c r="N204" s="649">
        <f t="shared" si="174"/>
        <v>0</v>
      </c>
      <c r="O204" s="649">
        <f t="shared" si="174"/>
        <v>0</v>
      </c>
      <c r="P204" s="744">
        <f t="shared" si="174"/>
        <v>0</v>
      </c>
      <c r="Q204" s="649">
        <f t="shared" si="174"/>
        <v>0</v>
      </c>
      <c r="R204" s="649">
        <f t="shared" si="174"/>
        <v>0</v>
      </c>
      <c r="S204" s="649">
        <f t="shared" si="174"/>
        <v>0</v>
      </c>
      <c r="T204" s="744">
        <f t="shared" si="174"/>
        <v>0</v>
      </c>
      <c r="U204" s="649">
        <f t="shared" si="174"/>
        <v>0</v>
      </c>
      <c r="V204" s="649">
        <f t="shared" si="174"/>
        <v>0</v>
      </c>
      <c r="W204" s="649">
        <f t="shared" si="174"/>
        <v>0</v>
      </c>
      <c r="X204" s="744">
        <f t="shared" si="174"/>
        <v>26000000</v>
      </c>
      <c r="Y204" s="847">
        <f t="shared" si="174"/>
        <v>26000000</v>
      </c>
      <c r="Z204" s="649">
        <f t="shared" si="174"/>
        <v>0</v>
      </c>
      <c r="AA204" s="649">
        <f t="shared" si="174"/>
        <v>0</v>
      </c>
      <c r="AB204" s="744">
        <f t="shared" si="174"/>
        <v>19109399.5</v>
      </c>
      <c r="AC204" s="649">
        <f t="shared" si="174"/>
        <v>0</v>
      </c>
      <c r="AD204" s="649">
        <f t="shared" si="174"/>
        <v>0</v>
      </c>
      <c r="AE204" s="649">
        <f t="shared" si="174"/>
        <v>0</v>
      </c>
      <c r="AF204" s="744">
        <f t="shared" si="174"/>
        <v>0</v>
      </c>
      <c r="AG204" s="649">
        <f t="shared" si="174"/>
        <v>0</v>
      </c>
      <c r="AH204" s="649">
        <f t="shared" si="174"/>
        <v>0</v>
      </c>
      <c r="AI204" s="649">
        <f t="shared" si="174"/>
        <v>0</v>
      </c>
      <c r="AJ204" s="744">
        <f t="shared" si="174"/>
        <v>0</v>
      </c>
      <c r="AK204" s="649">
        <f t="shared" si="174"/>
        <v>0</v>
      </c>
      <c r="AL204" s="649">
        <f t="shared" si="174"/>
        <v>0</v>
      </c>
      <c r="AM204" s="649">
        <f t="shared" si="174"/>
        <v>0</v>
      </c>
      <c r="AN204" s="744">
        <f t="shared" si="174"/>
        <v>0</v>
      </c>
      <c r="AO204" s="649">
        <f t="shared" si="174"/>
        <v>0</v>
      </c>
      <c r="AP204" s="649">
        <f t="shared" si="174"/>
        <v>0</v>
      </c>
      <c r="AQ204" s="649">
        <f t="shared" si="174"/>
        <v>0</v>
      </c>
      <c r="AR204" s="744">
        <f t="shared" si="174"/>
        <v>0</v>
      </c>
      <c r="AS204" s="649">
        <f t="shared" si="174"/>
        <v>0</v>
      </c>
      <c r="AT204" s="649">
        <f t="shared" si="174"/>
        <v>0</v>
      </c>
      <c r="AU204" s="649">
        <f t="shared" si="174"/>
        <v>0</v>
      </c>
      <c r="AV204" s="744">
        <f t="shared" si="174"/>
        <v>0</v>
      </c>
      <c r="AW204" s="649">
        <f t="shared" si="174"/>
        <v>0</v>
      </c>
      <c r="AX204" s="649">
        <f t="shared" si="174"/>
        <v>0</v>
      </c>
      <c r="AY204" s="649">
        <f t="shared" si="174"/>
        <v>0</v>
      </c>
      <c r="AZ204" s="744">
        <f t="shared" si="174"/>
        <v>0</v>
      </c>
      <c r="BA204" s="649">
        <f t="shared" si="174"/>
        <v>0</v>
      </c>
      <c r="BB204" s="649">
        <f t="shared" si="174"/>
        <v>0</v>
      </c>
      <c r="BC204" s="649">
        <f t="shared" si="174"/>
        <v>0</v>
      </c>
      <c r="BD204" s="744">
        <f t="shared" si="174"/>
        <v>0</v>
      </c>
      <c r="BE204" s="649">
        <f t="shared" ref="BE204:BM204" si="175">SUM(BE206:BE210)</f>
        <v>0</v>
      </c>
      <c r="BF204" s="707">
        <f t="shared" si="175"/>
        <v>0</v>
      </c>
      <c r="BG204" s="708">
        <f t="shared" si="175"/>
        <v>0</v>
      </c>
      <c r="BH204" s="708">
        <f t="shared" si="175"/>
        <v>0</v>
      </c>
      <c r="BI204" s="699" t="s">
        <v>385</v>
      </c>
      <c r="BJ204" s="649">
        <f t="shared" si="175"/>
        <v>0</v>
      </c>
      <c r="BK204" s="649">
        <f t="shared" si="175"/>
        <v>0</v>
      </c>
      <c r="BL204" s="649">
        <f t="shared" si="175"/>
        <v>103600000</v>
      </c>
      <c r="BM204" s="650">
        <f t="shared" si="175"/>
        <v>0</v>
      </c>
      <c r="BN204" s="662"/>
      <c r="BQ204" s="652"/>
    </row>
    <row r="205" spans="1:69" s="663" customFormat="1" ht="34.5" customHeight="1" x14ac:dyDescent="0.2">
      <c r="A205" s="1111" t="s">
        <v>251</v>
      </c>
      <c r="B205" s="1112"/>
      <c r="C205" s="1113"/>
      <c r="D205" s="699"/>
      <c r="E205" s="699"/>
      <c r="F205" s="706" t="s">
        <v>63</v>
      </c>
      <c r="G205" s="699"/>
      <c r="H205" s="744">
        <f>H206+H207</f>
        <v>48600000</v>
      </c>
      <c r="I205" s="744">
        <f t="shared" ref="I205:BD205" si="176">I206+I207</f>
        <v>48600000</v>
      </c>
      <c r="J205" s="744">
        <f t="shared" si="176"/>
        <v>0</v>
      </c>
      <c r="K205" s="744">
        <f t="shared" si="176"/>
        <v>0</v>
      </c>
      <c r="L205" s="744">
        <f t="shared" si="176"/>
        <v>0</v>
      </c>
      <c r="M205" s="649">
        <f t="shared" si="176"/>
        <v>0</v>
      </c>
      <c r="N205" s="649">
        <f t="shared" si="176"/>
        <v>0</v>
      </c>
      <c r="O205" s="649">
        <f t="shared" si="176"/>
        <v>0</v>
      </c>
      <c r="P205" s="744">
        <f t="shared" si="176"/>
        <v>0</v>
      </c>
      <c r="Q205" s="649">
        <f t="shared" si="176"/>
        <v>0</v>
      </c>
      <c r="R205" s="649">
        <f t="shared" si="176"/>
        <v>0</v>
      </c>
      <c r="S205" s="649">
        <f t="shared" si="176"/>
        <v>0</v>
      </c>
      <c r="T205" s="744">
        <f t="shared" si="176"/>
        <v>0</v>
      </c>
      <c r="U205" s="649">
        <f t="shared" si="176"/>
        <v>0</v>
      </c>
      <c r="V205" s="649">
        <f t="shared" si="176"/>
        <v>0</v>
      </c>
      <c r="W205" s="649">
        <f t="shared" si="176"/>
        <v>0</v>
      </c>
      <c r="X205" s="744">
        <f t="shared" si="176"/>
        <v>0</v>
      </c>
      <c r="Y205" s="847">
        <f t="shared" si="176"/>
        <v>0</v>
      </c>
      <c r="Z205" s="649">
        <f t="shared" si="176"/>
        <v>0</v>
      </c>
      <c r="AA205" s="649">
        <f t="shared" si="176"/>
        <v>0</v>
      </c>
      <c r="AB205" s="744">
        <f t="shared" si="176"/>
        <v>0</v>
      </c>
      <c r="AC205" s="649">
        <f t="shared" si="176"/>
        <v>0</v>
      </c>
      <c r="AD205" s="649">
        <f t="shared" si="176"/>
        <v>0</v>
      </c>
      <c r="AE205" s="649">
        <f t="shared" si="176"/>
        <v>0</v>
      </c>
      <c r="AF205" s="744">
        <f t="shared" si="176"/>
        <v>0</v>
      </c>
      <c r="AG205" s="649">
        <f t="shared" si="176"/>
        <v>0</v>
      </c>
      <c r="AH205" s="649">
        <f t="shared" si="176"/>
        <v>0</v>
      </c>
      <c r="AI205" s="649">
        <f t="shared" si="176"/>
        <v>0</v>
      </c>
      <c r="AJ205" s="744">
        <f t="shared" si="176"/>
        <v>0</v>
      </c>
      <c r="AK205" s="649">
        <f t="shared" si="176"/>
        <v>0</v>
      </c>
      <c r="AL205" s="649">
        <f t="shared" si="176"/>
        <v>0</v>
      </c>
      <c r="AM205" s="649">
        <f t="shared" si="176"/>
        <v>0</v>
      </c>
      <c r="AN205" s="744">
        <f t="shared" si="176"/>
        <v>0</v>
      </c>
      <c r="AO205" s="649">
        <f t="shared" si="176"/>
        <v>0</v>
      </c>
      <c r="AP205" s="649">
        <f t="shared" si="176"/>
        <v>0</v>
      </c>
      <c r="AQ205" s="649">
        <f t="shared" si="176"/>
        <v>0</v>
      </c>
      <c r="AR205" s="744">
        <f t="shared" si="176"/>
        <v>20228636</v>
      </c>
      <c r="AS205" s="649">
        <f t="shared" si="176"/>
        <v>0</v>
      </c>
      <c r="AT205" s="649">
        <f t="shared" si="176"/>
        <v>0</v>
      </c>
      <c r="AU205" s="649">
        <f t="shared" si="176"/>
        <v>0</v>
      </c>
      <c r="AV205" s="744">
        <f t="shared" si="176"/>
        <v>28371364</v>
      </c>
      <c r="AW205" s="649">
        <f t="shared" si="176"/>
        <v>0</v>
      </c>
      <c r="AX205" s="649">
        <f t="shared" si="176"/>
        <v>0</v>
      </c>
      <c r="AY205" s="649">
        <f t="shared" si="176"/>
        <v>0</v>
      </c>
      <c r="AZ205" s="744">
        <f t="shared" si="176"/>
        <v>0</v>
      </c>
      <c r="BA205" s="649">
        <f t="shared" si="176"/>
        <v>0</v>
      </c>
      <c r="BB205" s="649">
        <f t="shared" si="176"/>
        <v>0</v>
      </c>
      <c r="BC205" s="649">
        <f t="shared" si="176"/>
        <v>0</v>
      </c>
      <c r="BD205" s="744">
        <f t="shared" si="176"/>
        <v>0</v>
      </c>
      <c r="BE205" s="649"/>
      <c r="BF205" s="707"/>
      <c r="BG205" s="708"/>
      <c r="BH205" s="708"/>
      <c r="BI205" s="699"/>
      <c r="BJ205" s="649"/>
      <c r="BK205" s="649"/>
      <c r="BL205" s="649"/>
      <c r="BM205" s="709"/>
      <c r="BN205" s="662"/>
      <c r="BQ205" s="652"/>
    </row>
    <row r="206" spans="1:69" ht="56.25" customHeight="1" x14ac:dyDescent="0.2">
      <c r="A206" s="1117" t="s">
        <v>154</v>
      </c>
      <c r="B206" s="232" t="s">
        <v>252</v>
      </c>
      <c r="C206" s="571" t="s">
        <v>155</v>
      </c>
      <c r="D206" s="571">
        <v>521</v>
      </c>
      <c r="E206" s="571">
        <v>251</v>
      </c>
      <c r="F206" s="571" t="s">
        <v>63</v>
      </c>
      <c r="G206" s="571"/>
      <c r="H206" s="25">
        <v>5920000</v>
      </c>
      <c r="I206" s="635">
        <f t="shared" si="163"/>
        <v>5920000</v>
      </c>
      <c r="J206" s="743">
        <f t="shared" si="164"/>
        <v>0</v>
      </c>
      <c r="K206" s="627">
        <f t="shared" ref="K206:K212" si="177">N206+R206+V206+Z206+AD206+AH206+AL206+AP206+AT206+AX206+BB206+BG206</f>
        <v>0</v>
      </c>
      <c r="L206" s="745"/>
      <c r="M206" s="210"/>
      <c r="N206" s="202"/>
      <c r="O206" s="213"/>
      <c r="P206" s="745"/>
      <c r="Q206" s="574"/>
      <c r="R206" s="202"/>
      <c r="S206" s="213"/>
      <c r="T206" s="745"/>
      <c r="U206" s="210"/>
      <c r="V206" s="202"/>
      <c r="W206" s="213"/>
      <c r="X206" s="745"/>
      <c r="Y206" s="848"/>
      <c r="Z206" s="202"/>
      <c r="AA206" s="213"/>
      <c r="AB206" s="745"/>
      <c r="AC206" s="210"/>
      <c r="AD206" s="202"/>
      <c r="AE206" s="213"/>
      <c r="AF206" s="745"/>
      <c r="AG206" s="210"/>
      <c r="AH206" s="202"/>
      <c r="AI206" s="241">
        <f>AH206-AG206</f>
        <v>0</v>
      </c>
      <c r="AJ206" s="745"/>
      <c r="AK206" s="210"/>
      <c r="AL206" s="202"/>
      <c r="AM206" s="213"/>
      <c r="AN206" s="25"/>
      <c r="AO206" s="233"/>
      <c r="AP206" s="202"/>
      <c r="AQ206" s="234"/>
      <c r="AR206" s="25">
        <v>5920000</v>
      </c>
      <c r="AS206" s="233"/>
      <c r="AT206" s="212"/>
      <c r="AU206" s="213"/>
      <c r="AV206" s="25"/>
      <c r="AW206" s="210"/>
      <c r="AX206" s="212"/>
      <c r="AY206" s="241">
        <f>AX206-AW206</f>
        <v>0</v>
      </c>
      <c r="AZ206" s="25"/>
      <c r="BA206" s="210"/>
      <c r="BB206" s="212"/>
      <c r="BC206" s="556">
        <f t="shared" si="170"/>
        <v>0</v>
      </c>
      <c r="BD206" s="25"/>
      <c r="BE206" s="517"/>
      <c r="BF206" s="252"/>
      <c r="BG206" s="132"/>
      <c r="BH206" s="250"/>
      <c r="BI206" s="251" t="s">
        <v>385</v>
      </c>
      <c r="BJ206" s="202"/>
      <c r="BK206" s="202"/>
      <c r="BL206" s="501">
        <f>H206+BJ206+BK206</f>
        <v>5920000</v>
      </c>
      <c r="BM206" s="158">
        <f t="shared" ref="BM206:BM212" si="178">L206+R206+V206+Z206+AD206+AG206</f>
        <v>0</v>
      </c>
      <c r="BN206" s="237"/>
      <c r="BQ206" s="230" t="str">
        <f t="shared" ref="BQ206:BQ212" si="179">IF(BJ206&gt;0,BJ206,"")</f>
        <v/>
      </c>
    </row>
    <row r="207" spans="1:69" ht="42.75" customHeight="1" x14ac:dyDescent="0.2">
      <c r="A207" s="1119"/>
      <c r="B207" s="232" t="s">
        <v>252</v>
      </c>
      <c r="C207" s="571" t="s">
        <v>155</v>
      </c>
      <c r="D207" s="571">
        <v>522</v>
      </c>
      <c r="E207" s="571">
        <v>251</v>
      </c>
      <c r="F207" s="571" t="s">
        <v>63</v>
      </c>
      <c r="G207" s="571"/>
      <c r="H207" s="25">
        <v>42680000</v>
      </c>
      <c r="I207" s="635">
        <f t="shared" si="163"/>
        <v>42680000</v>
      </c>
      <c r="J207" s="743">
        <f t="shared" si="164"/>
        <v>0</v>
      </c>
      <c r="K207" s="627"/>
      <c r="L207" s="745"/>
      <c r="M207" s="210"/>
      <c r="N207" s="202"/>
      <c r="O207" s="213"/>
      <c r="P207" s="745"/>
      <c r="Q207" s="574"/>
      <c r="R207" s="202"/>
      <c r="S207" s="213"/>
      <c r="T207" s="745"/>
      <c r="U207" s="210"/>
      <c r="V207" s="202"/>
      <c r="W207" s="213"/>
      <c r="X207" s="745"/>
      <c r="Y207" s="848"/>
      <c r="Z207" s="202"/>
      <c r="AA207" s="213"/>
      <c r="AB207" s="745"/>
      <c r="AC207" s="210"/>
      <c r="AD207" s="202"/>
      <c r="AE207" s="213"/>
      <c r="AF207" s="25"/>
      <c r="AG207" s="210"/>
      <c r="AH207" s="202"/>
      <c r="AI207" s="241"/>
      <c r="AJ207" s="745"/>
      <c r="AK207" s="210"/>
      <c r="AL207" s="202"/>
      <c r="AM207" s="213"/>
      <c r="AN207" s="25"/>
      <c r="AO207" s="233"/>
      <c r="AP207" s="202"/>
      <c r="AQ207" s="234"/>
      <c r="AR207" s="25">
        <v>14308636</v>
      </c>
      <c r="AS207" s="233"/>
      <c r="AT207" s="212"/>
      <c r="AU207" s="213"/>
      <c r="AV207" s="25">
        <v>28371364</v>
      </c>
      <c r="AW207" s="210"/>
      <c r="AX207" s="212"/>
      <c r="AY207" s="241"/>
      <c r="AZ207" s="25"/>
      <c r="BA207" s="210"/>
      <c r="BB207" s="212"/>
      <c r="BC207" s="556"/>
      <c r="BD207" s="25"/>
      <c r="BE207" s="517"/>
      <c r="BF207" s="252"/>
      <c r="BG207" s="132"/>
      <c r="BH207" s="250"/>
      <c r="BI207" s="251"/>
      <c r="BJ207" s="202"/>
      <c r="BK207" s="202"/>
      <c r="BL207" s="501">
        <f>H207+BJ207+BK207</f>
        <v>42680000</v>
      </c>
      <c r="BM207" s="158"/>
      <c r="BN207" s="237"/>
      <c r="BQ207" s="230"/>
    </row>
    <row r="208" spans="1:69" ht="63" x14ac:dyDescent="0.2">
      <c r="A208" s="42" t="s">
        <v>150</v>
      </c>
      <c r="B208" s="232" t="s">
        <v>252</v>
      </c>
      <c r="C208" s="571" t="s">
        <v>151</v>
      </c>
      <c r="D208" s="571">
        <v>633</v>
      </c>
      <c r="E208" s="571">
        <v>246</v>
      </c>
      <c r="F208" s="571">
        <v>31</v>
      </c>
      <c r="G208" s="571"/>
      <c r="H208" s="25">
        <f>26000000+20000000</f>
        <v>46000000</v>
      </c>
      <c r="I208" s="635">
        <f t="shared" si="163"/>
        <v>45109399.5</v>
      </c>
      <c r="J208" s="743">
        <f t="shared" si="164"/>
        <v>890600.5</v>
      </c>
      <c r="K208" s="627">
        <f t="shared" si="177"/>
        <v>0</v>
      </c>
      <c r="L208" s="745"/>
      <c r="M208" s="210"/>
      <c r="N208" s="202"/>
      <c r="O208" s="213"/>
      <c r="P208" s="745"/>
      <c r="Q208" s="574"/>
      <c r="R208" s="202"/>
      <c r="S208" s="213"/>
      <c r="T208" s="745"/>
      <c r="U208" s="210"/>
      <c r="V208" s="202"/>
      <c r="W208" s="213"/>
      <c r="X208" s="25">
        <v>26000000</v>
      </c>
      <c r="Y208" s="840">
        <v>26000000</v>
      </c>
      <c r="Z208" s="202"/>
      <c r="AA208" s="629"/>
      <c r="AB208" s="745">
        <v>19109399.5</v>
      </c>
      <c r="AC208" s="210"/>
      <c r="AD208" s="202"/>
      <c r="AE208" s="213"/>
      <c r="AF208" s="745"/>
      <c r="AG208" s="210"/>
      <c r="AH208" s="202"/>
      <c r="AI208" s="213"/>
      <c r="AJ208" s="745"/>
      <c r="AK208" s="210"/>
      <c r="AL208" s="202"/>
      <c r="AM208" s="213"/>
      <c r="AN208" s="25"/>
      <c r="AO208" s="233"/>
      <c r="AP208" s="202"/>
      <c r="AQ208" s="234"/>
      <c r="AR208" s="25"/>
      <c r="AS208" s="233"/>
      <c r="AT208" s="212"/>
      <c r="AU208" s="213"/>
      <c r="AV208" s="25"/>
      <c r="AW208" s="210"/>
      <c r="AX208" s="212"/>
      <c r="AY208" s="213"/>
      <c r="AZ208" s="25"/>
      <c r="BA208" s="210"/>
      <c r="BB208" s="212"/>
      <c r="BC208" s="213"/>
      <c r="BD208" s="25"/>
      <c r="BE208" s="202"/>
      <c r="BF208" s="252"/>
      <c r="BG208" s="132"/>
      <c r="BH208" s="250"/>
      <c r="BI208" s="251" t="s">
        <v>385</v>
      </c>
      <c r="BJ208" s="202"/>
      <c r="BK208" s="202"/>
      <c r="BL208" s="501">
        <f>H208+BJ208+BK208</f>
        <v>46000000</v>
      </c>
      <c r="BM208" s="158">
        <f t="shared" si="178"/>
        <v>0</v>
      </c>
      <c r="BN208" s="237"/>
      <c r="BQ208" s="230" t="str">
        <f t="shared" si="179"/>
        <v/>
      </c>
    </row>
    <row r="209" spans="1:69" ht="63" x14ac:dyDescent="0.2">
      <c r="A209" s="855" t="s">
        <v>531</v>
      </c>
      <c r="B209" s="232" t="s">
        <v>252</v>
      </c>
      <c r="C209" s="571" t="s">
        <v>532</v>
      </c>
      <c r="D209" s="571"/>
      <c r="E209" s="571"/>
      <c r="F209" s="571">
        <v>31</v>
      </c>
      <c r="G209" s="571"/>
      <c r="H209" s="25">
        <v>5000000</v>
      </c>
      <c r="I209" s="635">
        <f>L209+P209+T209+X209+AB209+AF209+AJ209+AN209+AR209+AV209+AZ209+BD209</f>
        <v>0</v>
      </c>
      <c r="J209" s="743">
        <f>H209-I209</f>
        <v>5000000</v>
      </c>
      <c r="K209" s="627"/>
      <c r="L209" s="745"/>
      <c r="M209" s="210"/>
      <c r="N209" s="202"/>
      <c r="O209" s="213"/>
      <c r="P209" s="745"/>
      <c r="Q209" s="574"/>
      <c r="R209" s="202"/>
      <c r="S209" s="213"/>
      <c r="T209" s="745"/>
      <c r="U209" s="210"/>
      <c r="V209" s="202"/>
      <c r="W209" s="213"/>
      <c r="X209" s="25"/>
      <c r="Y209" s="840"/>
      <c r="Z209" s="202"/>
      <c r="AA209" s="629"/>
      <c r="AB209" s="745"/>
      <c r="AC209" s="210"/>
      <c r="AD209" s="202"/>
      <c r="AE209" s="213"/>
      <c r="AF209" s="745"/>
      <c r="AG209" s="210"/>
      <c r="AH209" s="202"/>
      <c r="AI209" s="213"/>
      <c r="AJ209" s="745"/>
      <c r="AK209" s="210"/>
      <c r="AL209" s="202"/>
      <c r="AM209" s="213"/>
      <c r="AN209" s="25"/>
      <c r="AO209" s="233"/>
      <c r="AP209" s="202"/>
      <c r="AQ209" s="234"/>
      <c r="AR209" s="25"/>
      <c r="AS209" s="233"/>
      <c r="AT209" s="212"/>
      <c r="AU209" s="213"/>
      <c r="AV209" s="25"/>
      <c r="AW209" s="210"/>
      <c r="AX209" s="212"/>
      <c r="AY209" s="213"/>
      <c r="AZ209" s="25"/>
      <c r="BA209" s="210"/>
      <c r="BB209" s="212"/>
      <c r="BC209" s="213"/>
      <c r="BD209" s="25"/>
      <c r="BE209" s="202"/>
      <c r="BF209" s="252"/>
      <c r="BG209" s="132"/>
      <c r="BH209" s="250"/>
      <c r="BI209" s="251"/>
      <c r="BJ209" s="202"/>
      <c r="BK209" s="202"/>
      <c r="BL209" s="501">
        <f>H209+BJ209+BK209</f>
        <v>5000000</v>
      </c>
      <c r="BM209" s="158"/>
      <c r="BN209" s="237"/>
      <c r="BQ209" s="230"/>
    </row>
    <row r="210" spans="1:69" ht="126" x14ac:dyDescent="0.2">
      <c r="A210" s="481" t="s">
        <v>152</v>
      </c>
      <c r="B210" s="232" t="s">
        <v>252</v>
      </c>
      <c r="C210" s="571" t="s">
        <v>153</v>
      </c>
      <c r="D210" s="571">
        <v>633</v>
      </c>
      <c r="E210" s="571">
        <v>246</v>
      </c>
      <c r="F210" s="571">
        <v>31</v>
      </c>
      <c r="G210" s="571"/>
      <c r="H210" s="25">
        <v>4000000</v>
      </c>
      <c r="I210" s="635">
        <f t="shared" si="163"/>
        <v>0</v>
      </c>
      <c r="J210" s="743">
        <f t="shared" si="164"/>
        <v>4000000</v>
      </c>
      <c r="K210" s="627">
        <f t="shared" si="177"/>
        <v>0</v>
      </c>
      <c r="L210" s="627"/>
      <c r="M210" s="240"/>
      <c r="N210" s="164"/>
      <c r="O210" s="241"/>
      <c r="P210" s="627"/>
      <c r="Q210" s="554"/>
      <c r="R210" s="164"/>
      <c r="S210" s="241"/>
      <c r="T210" s="627"/>
      <c r="U210" s="240"/>
      <c r="V210" s="164"/>
      <c r="W210" s="241"/>
      <c r="X210" s="627"/>
      <c r="Y210" s="846"/>
      <c r="Z210" s="164"/>
      <c r="AA210" s="241"/>
      <c r="AB210" s="627"/>
      <c r="AC210" s="240"/>
      <c r="AD210" s="164"/>
      <c r="AE210" s="241"/>
      <c r="AF210" s="627"/>
      <c r="AG210" s="240"/>
      <c r="AH210" s="164"/>
      <c r="AI210" s="241"/>
      <c r="AJ210" s="627"/>
      <c r="AK210" s="240"/>
      <c r="AL210" s="164"/>
      <c r="AM210" s="241"/>
      <c r="AN210" s="627"/>
      <c r="AO210" s="240"/>
      <c r="AP210" s="164"/>
      <c r="AQ210" s="241"/>
      <c r="AR210" s="627"/>
      <c r="AS210" s="240"/>
      <c r="AT210" s="164"/>
      <c r="AU210" s="241"/>
      <c r="AV210" s="627"/>
      <c r="AW210" s="240"/>
      <c r="AX210" s="164"/>
      <c r="AY210" s="241"/>
      <c r="AZ210" s="627"/>
      <c r="BA210" s="240"/>
      <c r="BB210" s="164"/>
      <c r="BC210" s="241"/>
      <c r="BD210" s="25"/>
      <c r="BE210" s="517"/>
      <c r="BF210" s="252"/>
      <c r="BG210" s="132"/>
      <c r="BH210" s="250"/>
      <c r="BI210" s="251" t="s">
        <v>385</v>
      </c>
      <c r="BJ210" s="202"/>
      <c r="BK210" s="202"/>
      <c r="BL210" s="501">
        <f>H210+BJ210+BK210</f>
        <v>4000000</v>
      </c>
      <c r="BM210" s="158">
        <f t="shared" si="178"/>
        <v>0</v>
      </c>
      <c r="BN210" s="237"/>
      <c r="BQ210" s="230" t="str">
        <f t="shared" si="179"/>
        <v/>
      </c>
    </row>
    <row r="211" spans="1:69" s="711" customFormat="1" ht="19.5" x14ac:dyDescent="0.2">
      <c r="A211" s="1114" t="s">
        <v>253</v>
      </c>
      <c r="B211" s="1115"/>
      <c r="C211" s="1116"/>
      <c r="D211" s="710"/>
      <c r="E211" s="710"/>
      <c r="F211" s="688" t="s">
        <v>63</v>
      </c>
      <c r="G211" s="710"/>
      <c r="H211" s="744">
        <f t="shared" ref="H211:AM211" si="180">SUM(H212:H219)</f>
        <v>531760600</v>
      </c>
      <c r="I211" s="744">
        <f t="shared" si="180"/>
        <v>514876379.62</v>
      </c>
      <c r="J211" s="744">
        <f t="shared" si="180"/>
        <v>16884220.379999999</v>
      </c>
      <c r="K211" s="744">
        <f t="shared" si="180"/>
        <v>66544839.149999999</v>
      </c>
      <c r="L211" s="744">
        <f t="shared" si="180"/>
        <v>33084630</v>
      </c>
      <c r="M211" s="649">
        <f t="shared" si="180"/>
        <v>33084630</v>
      </c>
      <c r="N211" s="649">
        <f t="shared" si="180"/>
        <v>33084630</v>
      </c>
      <c r="O211" s="649">
        <f t="shared" si="180"/>
        <v>0</v>
      </c>
      <c r="P211" s="744">
        <f t="shared" si="180"/>
        <v>33437361.149999999</v>
      </c>
      <c r="Q211" s="649">
        <f t="shared" si="180"/>
        <v>33437361.149999999</v>
      </c>
      <c r="R211" s="649">
        <f t="shared" si="180"/>
        <v>33437361.149999999</v>
      </c>
      <c r="S211" s="649">
        <f t="shared" si="180"/>
        <v>0</v>
      </c>
      <c r="T211" s="744">
        <f t="shared" si="180"/>
        <v>33822108.129999995</v>
      </c>
      <c r="U211" s="649">
        <f t="shared" si="180"/>
        <v>33822108.129999995</v>
      </c>
      <c r="V211" s="649">
        <f t="shared" si="180"/>
        <v>0</v>
      </c>
      <c r="W211" s="649">
        <f t="shared" si="180"/>
        <v>0</v>
      </c>
      <c r="X211" s="744">
        <f t="shared" si="180"/>
        <v>34857533.039999999</v>
      </c>
      <c r="Y211" s="847">
        <f t="shared" si="180"/>
        <v>34857533.039999999</v>
      </c>
      <c r="Z211" s="649">
        <f t="shared" si="180"/>
        <v>22848</v>
      </c>
      <c r="AA211" s="649">
        <f t="shared" si="180"/>
        <v>0</v>
      </c>
      <c r="AB211" s="744">
        <f t="shared" si="180"/>
        <v>38260616.340000004</v>
      </c>
      <c r="AC211" s="649">
        <f t="shared" si="180"/>
        <v>0</v>
      </c>
      <c r="AD211" s="649">
        <f t="shared" si="180"/>
        <v>0</v>
      </c>
      <c r="AE211" s="649">
        <f t="shared" si="180"/>
        <v>0</v>
      </c>
      <c r="AF211" s="744">
        <f t="shared" si="180"/>
        <v>44354642</v>
      </c>
      <c r="AG211" s="649">
        <f t="shared" si="180"/>
        <v>44354642</v>
      </c>
      <c r="AH211" s="649">
        <f t="shared" si="180"/>
        <v>0</v>
      </c>
      <c r="AI211" s="649">
        <f t="shared" si="180"/>
        <v>0</v>
      </c>
      <c r="AJ211" s="744">
        <f t="shared" si="180"/>
        <v>50634087.559999995</v>
      </c>
      <c r="AK211" s="649">
        <f t="shared" si="180"/>
        <v>50634087.559999995</v>
      </c>
      <c r="AL211" s="649">
        <f t="shared" si="180"/>
        <v>0</v>
      </c>
      <c r="AM211" s="649">
        <f t="shared" si="180"/>
        <v>0</v>
      </c>
      <c r="AN211" s="744">
        <f t="shared" ref="AN211:BH211" si="181">SUM(AN212:AN219)</f>
        <v>47005022.100000001</v>
      </c>
      <c r="AO211" s="649">
        <f t="shared" si="181"/>
        <v>0</v>
      </c>
      <c r="AP211" s="649">
        <f t="shared" si="181"/>
        <v>0</v>
      </c>
      <c r="AQ211" s="649">
        <f t="shared" si="181"/>
        <v>0</v>
      </c>
      <c r="AR211" s="744">
        <f t="shared" si="181"/>
        <v>34507986.100000001</v>
      </c>
      <c r="AS211" s="649">
        <f t="shared" si="181"/>
        <v>0</v>
      </c>
      <c r="AT211" s="649">
        <f t="shared" si="181"/>
        <v>0</v>
      </c>
      <c r="AU211" s="649">
        <f t="shared" si="181"/>
        <v>0</v>
      </c>
      <c r="AV211" s="744">
        <f t="shared" si="181"/>
        <v>34097706.100000001</v>
      </c>
      <c r="AW211" s="649">
        <f t="shared" si="181"/>
        <v>0</v>
      </c>
      <c r="AX211" s="649">
        <f t="shared" si="181"/>
        <v>0</v>
      </c>
      <c r="AY211" s="649">
        <f t="shared" si="181"/>
        <v>0</v>
      </c>
      <c r="AZ211" s="744">
        <f t="shared" si="181"/>
        <v>51001229.25</v>
      </c>
      <c r="BA211" s="649">
        <f t="shared" si="181"/>
        <v>0</v>
      </c>
      <c r="BB211" s="649">
        <f t="shared" si="181"/>
        <v>0</v>
      </c>
      <c r="BC211" s="649">
        <f t="shared" si="181"/>
        <v>0</v>
      </c>
      <c r="BD211" s="744">
        <f t="shared" si="181"/>
        <v>79813457.849999994</v>
      </c>
      <c r="BE211" s="649">
        <f t="shared" si="181"/>
        <v>0</v>
      </c>
      <c r="BF211" s="649">
        <f t="shared" si="181"/>
        <v>0</v>
      </c>
      <c r="BG211" s="649">
        <f t="shared" si="181"/>
        <v>0</v>
      </c>
      <c r="BH211" s="649">
        <f t="shared" si="181"/>
        <v>0</v>
      </c>
      <c r="BI211" s="699" t="s">
        <v>385</v>
      </c>
      <c r="BJ211" s="649">
        <f>SUM(BJ212:BJ219)</f>
        <v>0</v>
      </c>
      <c r="BK211" s="649">
        <f>SUM(BK212:BK219)</f>
        <v>0</v>
      </c>
      <c r="BL211" s="649">
        <f>SUM(BL212:BL219)</f>
        <v>531760600</v>
      </c>
      <c r="BM211" s="661">
        <f t="shared" si="178"/>
        <v>110899481.15000001</v>
      </c>
      <c r="BN211" s="662"/>
      <c r="BQ211" s="652" t="str">
        <f t="shared" si="179"/>
        <v/>
      </c>
    </row>
    <row r="212" spans="1:69" ht="47.25" x14ac:dyDescent="0.2">
      <c r="A212" s="42" t="s">
        <v>254</v>
      </c>
      <c r="B212" s="232" t="s">
        <v>219</v>
      </c>
      <c r="C212" s="575" t="s">
        <v>159</v>
      </c>
      <c r="D212" s="571"/>
      <c r="E212" s="571"/>
      <c r="F212" s="572" t="s">
        <v>63</v>
      </c>
      <c r="G212" s="571"/>
      <c r="H212" s="627">
        <f>280334000+6646000</f>
        <v>286980000</v>
      </c>
      <c r="I212" s="635">
        <f t="shared" si="163"/>
        <v>271139152.06</v>
      </c>
      <c r="J212" s="743">
        <f t="shared" si="164"/>
        <v>15840847.939999998</v>
      </c>
      <c r="K212" s="627">
        <f t="shared" si="177"/>
        <v>41612561.149999999</v>
      </c>
      <c r="L212" s="627">
        <v>20704300</v>
      </c>
      <c r="M212" s="628">
        <v>20704300</v>
      </c>
      <c r="N212" s="627">
        <v>20704300</v>
      </c>
      <c r="O212" s="241"/>
      <c r="P212" s="627">
        <v>20908261.149999999</v>
      </c>
      <c r="Q212" s="630">
        <v>20908261.149999999</v>
      </c>
      <c r="R212" s="627">
        <v>20908261.149999999</v>
      </c>
      <c r="S212" s="241">
        <f>Q212-R212</f>
        <v>0</v>
      </c>
      <c r="T212" s="627">
        <v>20922928.129999999</v>
      </c>
      <c r="U212" s="240">
        <v>20922928.129999999</v>
      </c>
      <c r="V212" s="164"/>
      <c r="W212" s="241"/>
      <c r="X212" s="627">
        <v>22344065.039999999</v>
      </c>
      <c r="Y212" s="849">
        <v>22344065.039999999</v>
      </c>
      <c r="Z212" s="164"/>
      <c r="AA212" s="241"/>
      <c r="AB212" s="627">
        <v>21497716.34</v>
      </c>
      <c r="AC212" s="240"/>
      <c r="AD212" s="164"/>
      <c r="AE212" s="241"/>
      <c r="AF212" s="627">
        <v>22018882</v>
      </c>
      <c r="AG212" s="628">
        <v>22018882</v>
      </c>
      <c r="AH212" s="164"/>
      <c r="AI212" s="241"/>
      <c r="AJ212" s="627">
        <v>25977750</v>
      </c>
      <c r="AK212" s="628">
        <v>25977750</v>
      </c>
      <c r="AL212" s="164"/>
      <c r="AM212" s="241"/>
      <c r="AN212" s="627">
        <v>22586152.100000001</v>
      </c>
      <c r="AO212" s="240"/>
      <c r="AP212" s="164"/>
      <c r="AQ212" s="241"/>
      <c r="AR212" s="627">
        <v>21309556.100000001</v>
      </c>
      <c r="AS212" s="240"/>
      <c r="AT212" s="164"/>
      <c r="AU212" s="241"/>
      <c r="AV212" s="627">
        <v>21528206.100000001</v>
      </c>
      <c r="AW212" s="240"/>
      <c r="AX212" s="164"/>
      <c r="AY212" s="241"/>
      <c r="AZ212" s="627">
        <v>19378569.25</v>
      </c>
      <c r="BA212" s="240"/>
      <c r="BB212" s="164"/>
      <c r="BC212" s="556"/>
      <c r="BD212" s="627">
        <v>31962765.850000001</v>
      </c>
      <c r="BE212" s="264"/>
      <c r="BF212" s="249"/>
      <c r="BG212" s="132"/>
      <c r="BH212" s="250"/>
      <c r="BI212" s="251" t="s">
        <v>385</v>
      </c>
      <c r="BJ212" s="202"/>
      <c r="BK212" s="202"/>
      <c r="BL212" s="501">
        <f t="shared" ref="BL212:BL219" si="182">H212+BJ212+BK212</f>
        <v>286980000</v>
      </c>
      <c r="BM212" s="158">
        <f t="shared" si="178"/>
        <v>63631443.149999999</v>
      </c>
      <c r="BN212" s="237"/>
      <c r="BQ212" s="230" t="str">
        <f t="shared" si="179"/>
        <v/>
      </c>
    </row>
    <row r="213" spans="1:69" ht="50.25" customHeight="1" x14ac:dyDescent="0.2">
      <c r="A213" s="742" t="s">
        <v>167</v>
      </c>
      <c r="B213" s="232" t="s">
        <v>219</v>
      </c>
      <c r="C213" s="576" t="s">
        <v>168</v>
      </c>
      <c r="D213" s="571"/>
      <c r="E213" s="571"/>
      <c r="F213" s="572" t="s">
        <v>63</v>
      </c>
      <c r="G213" s="571"/>
      <c r="H213" s="627">
        <v>2805800</v>
      </c>
      <c r="I213" s="635">
        <f t="shared" si="163"/>
        <v>2775800</v>
      </c>
      <c r="J213" s="743">
        <f t="shared" si="164"/>
        <v>30000</v>
      </c>
      <c r="K213" s="627"/>
      <c r="L213" s="627"/>
      <c r="M213" s="628"/>
      <c r="N213" s="627"/>
      <c r="O213" s="241"/>
      <c r="P213" s="627"/>
      <c r="Q213" s="630"/>
      <c r="R213" s="627"/>
      <c r="S213" s="241"/>
      <c r="T213" s="627"/>
      <c r="U213" s="240"/>
      <c r="V213" s="164"/>
      <c r="W213" s="241"/>
      <c r="X213" s="627"/>
      <c r="Y213" s="849"/>
      <c r="Z213" s="164"/>
      <c r="AA213" s="241"/>
      <c r="AB213" s="627"/>
      <c r="AC213" s="240"/>
      <c r="AD213" s="164"/>
      <c r="AE213" s="241"/>
      <c r="AF213" s="627"/>
      <c r="AG213" s="240"/>
      <c r="AH213" s="164"/>
      <c r="AI213" s="241"/>
      <c r="AJ213" s="627">
        <v>200000</v>
      </c>
      <c r="AK213" s="628">
        <v>200000</v>
      </c>
      <c r="AL213" s="164"/>
      <c r="AM213" s="241"/>
      <c r="AN213" s="627">
        <v>230000</v>
      </c>
      <c r="AO213" s="240"/>
      <c r="AP213" s="164"/>
      <c r="AQ213" s="241"/>
      <c r="AR213" s="627">
        <v>485800</v>
      </c>
      <c r="AS213" s="240"/>
      <c r="AT213" s="164"/>
      <c r="AU213" s="241"/>
      <c r="AV213" s="627">
        <v>230000</v>
      </c>
      <c r="AW213" s="240"/>
      <c r="AX213" s="164"/>
      <c r="AY213" s="241"/>
      <c r="AZ213" s="627">
        <v>230000</v>
      </c>
      <c r="BA213" s="240"/>
      <c r="BB213" s="164"/>
      <c r="BC213" s="556"/>
      <c r="BD213" s="627">
        <v>1400000</v>
      </c>
      <c r="BE213" s="264"/>
      <c r="BF213" s="249"/>
      <c r="BG213" s="132"/>
      <c r="BH213" s="250"/>
      <c r="BI213" s="251"/>
      <c r="BJ213" s="202"/>
      <c r="BK213" s="202"/>
      <c r="BL213" s="501">
        <f t="shared" si="182"/>
        <v>2805800</v>
      </c>
      <c r="BM213" s="158"/>
      <c r="BN213" s="237"/>
      <c r="BQ213" s="230"/>
    </row>
    <row r="214" spans="1:69" ht="45" customHeight="1" x14ac:dyDescent="0.2">
      <c r="A214" s="740" t="s">
        <v>175</v>
      </c>
      <c r="B214" s="232" t="s">
        <v>256</v>
      </c>
      <c r="C214" s="576" t="s">
        <v>176</v>
      </c>
      <c r="D214" s="571"/>
      <c r="E214" s="571"/>
      <c r="F214" s="572" t="s">
        <v>63</v>
      </c>
      <c r="G214" s="571"/>
      <c r="H214" s="627">
        <v>500000</v>
      </c>
      <c r="I214" s="635">
        <f t="shared" si="163"/>
        <v>325000</v>
      </c>
      <c r="J214" s="743">
        <f t="shared" si="164"/>
        <v>175000</v>
      </c>
      <c r="K214" s="627"/>
      <c r="L214" s="627"/>
      <c r="M214" s="628"/>
      <c r="N214" s="627"/>
      <c r="O214" s="241"/>
      <c r="P214" s="627"/>
      <c r="Q214" s="630"/>
      <c r="R214" s="627"/>
      <c r="S214" s="241"/>
      <c r="T214" s="627"/>
      <c r="U214" s="240"/>
      <c r="V214" s="164"/>
      <c r="W214" s="241"/>
      <c r="X214" s="627"/>
      <c r="Y214" s="849"/>
      <c r="Z214" s="164"/>
      <c r="AA214" s="241"/>
      <c r="AB214" s="627"/>
      <c r="AC214" s="240"/>
      <c r="AD214" s="164"/>
      <c r="AE214" s="241"/>
      <c r="AF214" s="627"/>
      <c r="AG214" s="240"/>
      <c r="AH214" s="164"/>
      <c r="AI214" s="241"/>
      <c r="AJ214" s="627"/>
      <c r="AK214" s="628"/>
      <c r="AL214" s="164"/>
      <c r="AM214" s="241"/>
      <c r="AN214" s="627"/>
      <c r="AO214" s="240"/>
      <c r="AP214" s="164"/>
      <c r="AQ214" s="241"/>
      <c r="AR214" s="627">
        <v>150000</v>
      </c>
      <c r="AS214" s="240"/>
      <c r="AT214" s="164"/>
      <c r="AU214" s="241"/>
      <c r="AV214" s="627"/>
      <c r="AW214" s="240"/>
      <c r="AX214" s="164"/>
      <c r="AY214" s="241"/>
      <c r="AZ214" s="627">
        <v>175000</v>
      </c>
      <c r="BA214" s="240"/>
      <c r="BB214" s="164"/>
      <c r="BC214" s="556"/>
      <c r="BD214" s="627"/>
      <c r="BE214" s="264"/>
      <c r="BF214" s="249"/>
      <c r="BG214" s="132"/>
      <c r="BH214" s="250"/>
      <c r="BI214" s="251" t="s">
        <v>385</v>
      </c>
      <c r="BJ214" s="202"/>
      <c r="BK214" s="202"/>
      <c r="BL214" s="501">
        <f t="shared" si="182"/>
        <v>500000</v>
      </c>
      <c r="BM214" s="158"/>
      <c r="BN214" s="237"/>
      <c r="BQ214" s="230"/>
    </row>
    <row r="215" spans="1:69" ht="63" x14ac:dyDescent="0.2">
      <c r="A215" s="739" t="s">
        <v>169</v>
      </c>
      <c r="B215" s="232" t="s">
        <v>219</v>
      </c>
      <c r="C215" s="575" t="s">
        <v>170</v>
      </c>
      <c r="D215" s="571"/>
      <c r="E215" s="479"/>
      <c r="F215" s="106" t="s">
        <v>63</v>
      </c>
      <c r="G215" s="479"/>
      <c r="H215" s="627">
        <f>73202400+1112500</f>
        <v>74314900</v>
      </c>
      <c r="I215" s="635">
        <f t="shared" si="163"/>
        <v>80342294.439999998</v>
      </c>
      <c r="J215" s="743">
        <f t="shared" si="164"/>
        <v>-6027394.4399999976</v>
      </c>
      <c r="K215" s="627">
        <f>N215+R215+V215+Z215+AD215+AH215+AL215+AP215+AT215+AX215+BB215+BG215</f>
        <v>0</v>
      </c>
      <c r="L215" s="627"/>
      <c r="M215" s="628"/>
      <c r="N215" s="627"/>
      <c r="O215" s="241"/>
      <c r="P215" s="627"/>
      <c r="Q215" s="630"/>
      <c r="R215" s="627"/>
      <c r="S215" s="241">
        <f>Q215-R215</f>
        <v>0</v>
      </c>
      <c r="T215" s="627"/>
      <c r="U215" s="240"/>
      <c r="V215" s="164"/>
      <c r="W215" s="241"/>
      <c r="X215" s="627"/>
      <c r="Y215" s="849"/>
      <c r="Z215" s="164"/>
      <c r="AA215" s="241"/>
      <c r="AB215" s="627"/>
      <c r="AC215" s="240"/>
      <c r="AD215" s="164"/>
      <c r="AE215" s="241"/>
      <c r="AF215" s="627">
        <v>6499000</v>
      </c>
      <c r="AG215" s="628">
        <v>6499000</v>
      </c>
      <c r="AH215" s="164"/>
      <c r="AI215" s="241"/>
      <c r="AJ215" s="627">
        <v>8321194.4400000004</v>
      </c>
      <c r="AK215" s="628">
        <v>8321194.4400000004</v>
      </c>
      <c r="AL215" s="164"/>
      <c r="AM215" s="241"/>
      <c r="AN215" s="627">
        <v>10659700</v>
      </c>
      <c r="AO215" s="240"/>
      <c r="AP215" s="164"/>
      <c r="AQ215" s="241"/>
      <c r="AR215" s="627">
        <v>312500</v>
      </c>
      <c r="AS215" s="240"/>
      <c r="AT215" s="164"/>
      <c r="AU215" s="241"/>
      <c r="AV215" s="627"/>
      <c r="AW215" s="240"/>
      <c r="AX215" s="164"/>
      <c r="AY215" s="241"/>
      <c r="AZ215" s="627">
        <v>19701000</v>
      </c>
      <c r="BA215" s="240"/>
      <c r="BB215" s="164"/>
      <c r="BC215" s="556"/>
      <c r="BD215" s="627">
        <v>34848900</v>
      </c>
      <c r="BE215" s="164"/>
      <c r="BF215" s="240"/>
      <c r="BG215" s="132"/>
      <c r="BH215" s="250"/>
      <c r="BI215" s="251" t="s">
        <v>385</v>
      </c>
      <c r="BJ215" s="202"/>
      <c r="BK215" s="202"/>
      <c r="BL215" s="501">
        <f t="shared" si="182"/>
        <v>74314900</v>
      </c>
      <c r="BM215" s="158">
        <f>L215+R215+V215+Z215+AD215+AG215</f>
        <v>6499000</v>
      </c>
      <c r="BN215" s="237"/>
      <c r="BQ215" s="230" t="str">
        <f>IF(BJ215&gt;0,BJ215,"")</f>
        <v/>
      </c>
    </row>
    <row r="216" spans="1:69" ht="78.75" x14ac:dyDescent="0.2">
      <c r="A216" s="739" t="s">
        <v>171</v>
      </c>
      <c r="B216" s="232" t="s">
        <v>219</v>
      </c>
      <c r="C216" s="571" t="s">
        <v>172</v>
      </c>
      <c r="D216" s="571"/>
      <c r="E216" s="571"/>
      <c r="F216" s="572" t="s">
        <v>63</v>
      </c>
      <c r="G216" s="571"/>
      <c r="H216" s="627">
        <v>2446500</v>
      </c>
      <c r="I216" s="635">
        <f t="shared" si="163"/>
        <v>2894463.12</v>
      </c>
      <c r="J216" s="743">
        <f t="shared" si="164"/>
        <v>-447963.12000000011</v>
      </c>
      <c r="K216" s="627">
        <f>N216+R216+V216+Z216+AD216+AH216+AL216+AP216+AT216+AX216+BB216+BG216</f>
        <v>137848</v>
      </c>
      <c r="L216" s="627">
        <v>115000</v>
      </c>
      <c r="M216" s="628">
        <v>115000</v>
      </c>
      <c r="N216" s="627">
        <v>115000</v>
      </c>
      <c r="O216" s="241"/>
      <c r="P216" s="627"/>
      <c r="Q216" s="630"/>
      <c r="R216" s="627"/>
      <c r="S216" s="241">
        <f>Q216-R216</f>
        <v>0</v>
      </c>
      <c r="T216" s="627"/>
      <c r="U216" s="240"/>
      <c r="V216" s="164"/>
      <c r="W216" s="241"/>
      <c r="X216" s="627">
        <v>22848</v>
      </c>
      <c r="Y216" s="849">
        <v>22848</v>
      </c>
      <c r="Z216" s="164">
        <v>22848</v>
      </c>
      <c r="AA216" s="241"/>
      <c r="AB216" s="627"/>
      <c r="AC216" s="240"/>
      <c r="AD216" s="164"/>
      <c r="AE216" s="241"/>
      <c r="AF216" s="627"/>
      <c r="AG216" s="628"/>
      <c r="AH216" s="164"/>
      <c r="AI216" s="241"/>
      <c r="AJ216" s="627">
        <v>577233.12</v>
      </c>
      <c r="AK216" s="628">
        <v>577233.12</v>
      </c>
      <c r="AL216" s="164"/>
      <c r="AM216" s="241"/>
      <c r="AN216" s="627">
        <v>129270</v>
      </c>
      <c r="AO216" s="240"/>
      <c r="AP216" s="164"/>
      <c r="AQ216" s="241"/>
      <c r="AR216" s="627">
        <v>447970</v>
      </c>
      <c r="AS216" s="240"/>
      <c r="AT216" s="164"/>
      <c r="AU216" s="241"/>
      <c r="AV216" s="627">
        <v>129270</v>
      </c>
      <c r="AW216" s="240"/>
      <c r="AX216" s="164"/>
      <c r="AY216" s="241"/>
      <c r="AZ216" s="627">
        <v>129270</v>
      </c>
      <c r="BA216" s="240"/>
      <c r="BB216" s="164"/>
      <c r="BC216" s="556"/>
      <c r="BD216" s="627">
        <v>1343602</v>
      </c>
      <c r="BE216" s="264"/>
      <c r="BF216" s="249"/>
      <c r="BG216" s="132"/>
      <c r="BH216" s="250"/>
      <c r="BI216" s="251" t="s">
        <v>385</v>
      </c>
      <c r="BJ216" s="202"/>
      <c r="BK216" s="202"/>
      <c r="BL216" s="501">
        <f t="shared" si="182"/>
        <v>2446500</v>
      </c>
      <c r="BM216" s="158">
        <f>L216+R216+V216+Z216+AD216+AG216</f>
        <v>137848</v>
      </c>
      <c r="BN216" s="237"/>
      <c r="BQ216" s="230" t="str">
        <f>IF(BJ216&gt;0,BJ216,"")</f>
        <v/>
      </c>
    </row>
    <row r="217" spans="1:69" ht="30.75" customHeight="1" x14ac:dyDescent="0.2">
      <c r="A217" s="739" t="s">
        <v>426</v>
      </c>
      <c r="B217" s="232" t="s">
        <v>219</v>
      </c>
      <c r="C217" s="571" t="s">
        <v>425</v>
      </c>
      <c r="D217" s="571"/>
      <c r="E217" s="571"/>
      <c r="F217" s="572" t="s">
        <v>63</v>
      </c>
      <c r="G217" s="571"/>
      <c r="H217" s="627">
        <v>3500000</v>
      </c>
      <c r="I217" s="635">
        <f t="shared" si="163"/>
        <v>1500000</v>
      </c>
      <c r="J217" s="743">
        <f t="shared" si="164"/>
        <v>2000000</v>
      </c>
      <c r="K217" s="627"/>
      <c r="L217" s="627"/>
      <c r="M217" s="628"/>
      <c r="N217" s="627"/>
      <c r="O217" s="241"/>
      <c r="P217" s="627"/>
      <c r="Q217" s="630"/>
      <c r="R217" s="627"/>
      <c r="S217" s="241"/>
      <c r="T217" s="627"/>
      <c r="U217" s="240"/>
      <c r="V217" s="164"/>
      <c r="W217" s="241"/>
      <c r="X217" s="627"/>
      <c r="Y217" s="849"/>
      <c r="Z217" s="164"/>
      <c r="AA217" s="241"/>
      <c r="AB217" s="627"/>
      <c r="AC217" s="240"/>
      <c r="AD217" s="164"/>
      <c r="AE217" s="241"/>
      <c r="AF217" s="627"/>
      <c r="AG217" s="628"/>
      <c r="AH217" s="164"/>
      <c r="AI217" s="241"/>
      <c r="AJ217" s="627"/>
      <c r="AK217" s="628"/>
      <c r="AL217" s="164"/>
      <c r="AM217" s="241"/>
      <c r="AN217" s="627">
        <v>1500000</v>
      </c>
      <c r="AO217" s="240"/>
      <c r="AP217" s="164"/>
      <c r="AQ217" s="241"/>
      <c r="AR217" s="627"/>
      <c r="AS217" s="240"/>
      <c r="AT217" s="164"/>
      <c r="AU217" s="241"/>
      <c r="AV217" s="627"/>
      <c r="AW217" s="240"/>
      <c r="AX217" s="164"/>
      <c r="AY217" s="241"/>
      <c r="AZ217" s="627"/>
      <c r="BA217" s="240"/>
      <c r="BB217" s="164"/>
      <c r="BC217" s="556"/>
      <c r="BD217" s="627"/>
      <c r="BE217" s="264"/>
      <c r="BF217" s="249"/>
      <c r="BG217" s="132"/>
      <c r="BH217" s="250"/>
      <c r="BI217" s="251" t="s">
        <v>385</v>
      </c>
      <c r="BJ217" s="202"/>
      <c r="BK217" s="202"/>
      <c r="BL217" s="501">
        <f t="shared" si="182"/>
        <v>3500000</v>
      </c>
      <c r="BM217" s="158"/>
      <c r="BN217" s="237"/>
      <c r="BQ217" s="230"/>
    </row>
    <row r="218" spans="1:69" ht="47.25" x14ac:dyDescent="0.2">
      <c r="A218" s="42" t="s">
        <v>255</v>
      </c>
      <c r="B218" s="232" t="s">
        <v>219</v>
      </c>
      <c r="C218" s="571" t="s">
        <v>174</v>
      </c>
      <c r="D218" s="571">
        <v>530</v>
      </c>
      <c r="E218" s="571">
        <v>251</v>
      </c>
      <c r="F218" s="572" t="s">
        <v>63</v>
      </c>
      <c r="G218" s="571"/>
      <c r="H218" s="627">
        <f>148010000+13203400</f>
        <v>161213400</v>
      </c>
      <c r="I218" s="635">
        <f t="shared" si="163"/>
        <v>155899670</v>
      </c>
      <c r="J218" s="743">
        <f t="shared" si="164"/>
        <v>5313730</v>
      </c>
      <c r="K218" s="627">
        <f>N218+R218+V218+Z218+AD218+AH218+AL218+AP218+AT218+AX218+BB218+BG218</f>
        <v>24794430</v>
      </c>
      <c r="L218" s="627">
        <v>12265330</v>
      </c>
      <c r="M218" s="628">
        <v>12265330</v>
      </c>
      <c r="N218" s="627">
        <v>12265330</v>
      </c>
      <c r="O218" s="241"/>
      <c r="P218" s="627">
        <v>12529100</v>
      </c>
      <c r="Q218" s="630">
        <v>12529100</v>
      </c>
      <c r="R218" s="627">
        <v>12529100</v>
      </c>
      <c r="S218" s="241">
        <f>Q218-R218</f>
        <v>0</v>
      </c>
      <c r="T218" s="627">
        <v>12899180</v>
      </c>
      <c r="U218" s="240">
        <v>12899180</v>
      </c>
      <c r="V218" s="164"/>
      <c r="W218" s="241"/>
      <c r="X218" s="627">
        <v>12490620</v>
      </c>
      <c r="Y218" s="849">
        <v>12490620</v>
      </c>
      <c r="Z218" s="164"/>
      <c r="AA218" s="241"/>
      <c r="AB218" s="627">
        <v>16762900</v>
      </c>
      <c r="AC218" s="240"/>
      <c r="AD218" s="164"/>
      <c r="AE218" s="241"/>
      <c r="AF218" s="627">
        <v>15836760</v>
      </c>
      <c r="AG218" s="955">
        <v>15836760</v>
      </c>
      <c r="AH218" s="164"/>
      <c r="AI218" s="241"/>
      <c r="AJ218" s="627">
        <v>15557910</v>
      </c>
      <c r="AK218" s="628">
        <v>15557910</v>
      </c>
      <c r="AL218" s="164"/>
      <c r="AM218" s="241"/>
      <c r="AN218" s="627">
        <v>11899900</v>
      </c>
      <c r="AO218" s="240"/>
      <c r="AP218" s="164"/>
      <c r="AQ218" s="241"/>
      <c r="AR218" s="627">
        <v>11802160</v>
      </c>
      <c r="AS218" s="240"/>
      <c r="AT218" s="164"/>
      <c r="AU218" s="241"/>
      <c r="AV218" s="627">
        <v>12210230</v>
      </c>
      <c r="AW218" s="240"/>
      <c r="AX218" s="164"/>
      <c r="AY218" s="241"/>
      <c r="AZ218" s="627">
        <v>11387390</v>
      </c>
      <c r="BA218" s="240"/>
      <c r="BB218" s="164"/>
      <c r="BC218" s="241"/>
      <c r="BD218" s="627">
        <v>10258190</v>
      </c>
      <c r="BE218" s="164"/>
      <c r="BF218" s="252"/>
      <c r="BG218" s="132"/>
      <c r="BH218" s="250"/>
      <c r="BI218" s="251" t="s">
        <v>385</v>
      </c>
      <c r="BJ218" s="202"/>
      <c r="BK218" s="202"/>
      <c r="BL218" s="501">
        <f t="shared" si="182"/>
        <v>161213400</v>
      </c>
      <c r="BM218" s="158">
        <f>L218+R218+V218+Z218+AD218+AG218</f>
        <v>40631190</v>
      </c>
      <c r="BN218" s="237"/>
      <c r="BQ218" s="230" t="str">
        <f>IF(BJ218&gt;0,BJ218,"")</f>
        <v/>
      </c>
    </row>
    <row r="219" spans="1:69" ht="94.5" x14ac:dyDescent="0.2">
      <c r="A219" s="42" t="s">
        <v>177</v>
      </c>
      <c r="B219" s="232" t="s">
        <v>256</v>
      </c>
      <c r="C219" s="571" t="s">
        <v>178</v>
      </c>
      <c r="D219" s="571">
        <v>530</v>
      </c>
      <c r="E219" s="571">
        <v>251</v>
      </c>
      <c r="F219" s="572" t="s">
        <v>63</v>
      </c>
      <c r="G219" s="571"/>
      <c r="H219" s="627"/>
      <c r="I219" s="635">
        <f t="shared" si="163"/>
        <v>0</v>
      </c>
      <c r="J219" s="743">
        <f t="shared" si="164"/>
        <v>0</v>
      </c>
      <c r="K219" s="746"/>
      <c r="L219" s="746"/>
      <c r="M219" s="253"/>
      <c r="N219" s="553"/>
      <c r="O219" s="577"/>
      <c r="P219" s="746"/>
      <c r="Q219" s="748"/>
      <c r="R219" s="553"/>
      <c r="S219" s="577">
        <f>Q219-R219</f>
        <v>0</v>
      </c>
      <c r="T219" s="746"/>
      <c r="U219" s="253"/>
      <c r="V219" s="553"/>
      <c r="W219" s="577"/>
      <c r="X219" s="746"/>
      <c r="Y219" s="850"/>
      <c r="Z219" s="553"/>
      <c r="AA219" s="577"/>
      <c r="AB219" s="746"/>
      <c r="AC219" s="253"/>
      <c r="AD219" s="553"/>
      <c r="AE219" s="577"/>
      <c r="AF219" s="746"/>
      <c r="AG219" s="240"/>
      <c r="AH219" s="553"/>
      <c r="AI219" s="241">
        <f>AH219-AG219</f>
        <v>0</v>
      </c>
      <c r="AJ219" s="746"/>
      <c r="AK219" s="253"/>
      <c r="AL219" s="553"/>
      <c r="AM219" s="577"/>
      <c r="AN219" s="746"/>
      <c r="AO219" s="240"/>
      <c r="AP219" s="164"/>
      <c r="AQ219" s="241"/>
      <c r="AR219" s="627"/>
      <c r="AS219" s="240"/>
      <c r="AT219" s="164"/>
      <c r="AU219" s="241"/>
      <c r="AV219" s="627"/>
      <c r="AW219" s="240"/>
      <c r="AX219" s="164"/>
      <c r="AY219" s="241"/>
      <c r="AZ219" s="627"/>
      <c r="BA219" s="240"/>
      <c r="BB219" s="164"/>
      <c r="BC219" s="241"/>
      <c r="BD219" s="627"/>
      <c r="BE219" s="164"/>
      <c r="BF219" s="252"/>
      <c r="BG219" s="132"/>
      <c r="BH219" s="250"/>
      <c r="BI219" s="251" t="s">
        <v>385</v>
      </c>
      <c r="BJ219" s="202"/>
      <c r="BK219" s="202"/>
      <c r="BL219" s="501">
        <f t="shared" si="182"/>
        <v>0</v>
      </c>
      <c r="BM219" s="158">
        <f>L219+R219+V219+Z219+AD219+AG219</f>
        <v>0</v>
      </c>
      <c r="BN219" s="237"/>
      <c r="BQ219" s="230" t="str">
        <f>IF(BJ219&gt;0,BJ219,"")</f>
        <v/>
      </c>
    </row>
    <row r="220" spans="1:69" ht="19.5" x14ac:dyDescent="0.2">
      <c r="A220" s="13"/>
      <c r="B220" s="232"/>
      <c r="C220" s="571"/>
      <c r="D220" s="571"/>
      <c r="E220" s="571"/>
      <c r="F220" s="572"/>
      <c r="G220" s="571"/>
      <c r="H220" s="164"/>
      <c r="I220" s="510"/>
      <c r="J220" s="164"/>
      <c r="K220" s="164"/>
      <c r="L220" s="164"/>
      <c r="M220" s="240"/>
      <c r="N220" s="164"/>
      <c r="O220" s="241"/>
      <c r="P220" s="164"/>
      <c r="Q220" s="554"/>
      <c r="R220" s="164"/>
      <c r="S220" s="241"/>
      <c r="T220" s="164"/>
      <c r="U220" s="240"/>
      <c r="V220" s="164"/>
      <c r="W220" s="241"/>
      <c r="X220" s="164"/>
      <c r="Y220" s="849"/>
      <c r="Z220" s="164"/>
      <c r="AA220" s="241"/>
      <c r="AB220" s="164"/>
      <c r="AC220" s="240"/>
      <c r="AD220" s="164"/>
      <c r="AE220" s="241"/>
      <c r="AF220" s="164"/>
      <c r="AG220" s="240"/>
      <c r="AH220" s="164"/>
      <c r="AI220" s="241"/>
      <c r="AJ220" s="164"/>
      <c r="AK220" s="240"/>
      <c r="AL220" s="164"/>
      <c r="AM220" s="241"/>
      <c r="AN220" s="164"/>
      <c r="AO220" s="240"/>
      <c r="AP220" s="164"/>
      <c r="AQ220" s="241"/>
      <c r="AR220" s="164"/>
      <c r="AS220" s="240"/>
      <c r="AT220" s="164"/>
      <c r="AU220" s="241"/>
      <c r="AV220" s="164"/>
      <c r="AW220" s="240"/>
      <c r="AX220" s="164"/>
      <c r="AY220" s="241"/>
      <c r="AZ220" s="218"/>
      <c r="BA220" s="218"/>
      <c r="BB220" s="218"/>
      <c r="BC220" s="218"/>
      <c r="BD220" s="578"/>
      <c r="BE220" s="156"/>
      <c r="BF220" s="254"/>
      <c r="BG220" s="136"/>
      <c r="BH220" s="255"/>
      <c r="BI220" s="153"/>
      <c r="BJ220" s="579"/>
      <c r="BK220" s="580"/>
      <c r="BL220" s="501"/>
      <c r="BM220" s="158"/>
      <c r="BN220" s="237"/>
      <c r="BQ220" s="230" t="str">
        <f t="shared" ref="BQ220:BQ230" si="183">IF(BJ220&gt;0,BJ220,"")</f>
        <v/>
      </c>
    </row>
    <row r="221" spans="1:69" s="610" customFormat="1" ht="49.5" customHeight="1" x14ac:dyDescent="0.2">
      <c r="A221" s="1099" t="s">
        <v>672</v>
      </c>
      <c r="B221" s="991"/>
      <c r="C221" s="1100" t="s">
        <v>678</v>
      </c>
      <c r="D221" s="992">
        <v>811</v>
      </c>
      <c r="E221" s="992">
        <v>245</v>
      </c>
      <c r="F221" s="993"/>
      <c r="G221" s="992"/>
      <c r="H221" s="994">
        <v>14499640</v>
      </c>
      <c r="I221" s="995">
        <f t="shared" ref="I221" si="184">L221+P221+T221+X221+AB221+AF221+AJ221+AN221+AR221+AV221+AZ221+BD221</f>
        <v>14499640</v>
      </c>
      <c r="J221" s="995">
        <f t="shared" ref="J221" si="185">H221-I221</f>
        <v>0</v>
      </c>
      <c r="K221" s="996">
        <f>N221+R221+V221+Z221+AD221+AH221+AL221+AP221+AT221+AX221+BB221+BG221</f>
        <v>0</v>
      </c>
      <c r="L221" s="994"/>
      <c r="M221" s="994"/>
      <c r="N221" s="994"/>
      <c r="O221" s="994"/>
      <c r="P221" s="994"/>
      <c r="Q221" s="997"/>
      <c r="R221" s="994"/>
      <c r="S221" s="994"/>
      <c r="T221" s="994"/>
      <c r="U221" s="994"/>
      <c r="V221" s="994"/>
      <c r="W221" s="994"/>
      <c r="X221" s="994"/>
      <c r="Y221" s="998"/>
      <c r="Z221" s="994"/>
      <c r="AA221" s="994"/>
      <c r="AB221" s="994"/>
      <c r="AC221" s="994"/>
      <c r="AD221" s="994"/>
      <c r="AE221" s="994"/>
      <c r="AF221" s="994"/>
      <c r="AG221" s="994"/>
      <c r="AH221" s="994"/>
      <c r="AI221" s="994"/>
      <c r="AJ221" s="994">
        <v>14499640</v>
      </c>
      <c r="AK221" s="994">
        <v>14499640</v>
      </c>
      <c r="AL221" s="994"/>
      <c r="AM221" s="996">
        <f>AL221-AK221</f>
        <v>-14499640</v>
      </c>
      <c r="AN221" s="994"/>
      <c r="AO221" s="994"/>
      <c r="AP221" s="994"/>
      <c r="AQ221" s="994"/>
      <c r="AR221" s="994"/>
      <c r="AS221" s="994"/>
      <c r="AT221" s="994"/>
      <c r="AU221" s="994"/>
      <c r="AV221" s="994"/>
      <c r="AW221" s="994"/>
      <c r="AX221" s="994"/>
      <c r="AY221" s="994"/>
      <c r="AZ221" s="994"/>
      <c r="BA221" s="994"/>
      <c r="BB221" s="994"/>
      <c r="BC221" s="994"/>
      <c r="BD221" s="994"/>
      <c r="BE221" s="999"/>
      <c r="BF221" s="1000"/>
      <c r="BG221" s="1000"/>
      <c r="BH221" s="1000"/>
      <c r="BI221" s="1000"/>
      <c r="BJ221" s="1001"/>
      <c r="BK221" s="1002"/>
      <c r="BL221" s="1001"/>
      <c r="BM221" s="999"/>
      <c r="BN221" s="1003"/>
      <c r="BQ221" s="1004" t="str">
        <f t="shared" si="183"/>
        <v/>
      </c>
    </row>
    <row r="222" spans="1:69" s="610" customFormat="1" ht="49.5" customHeight="1" x14ac:dyDescent="0.2">
      <c r="A222" s="1099"/>
      <c r="B222" s="991"/>
      <c r="C222" s="1100"/>
      <c r="D222" s="992">
        <v>811</v>
      </c>
      <c r="E222" s="992">
        <v>246</v>
      </c>
      <c r="F222" s="993"/>
      <c r="G222" s="992"/>
      <c r="H222" s="994">
        <v>738820</v>
      </c>
      <c r="I222" s="995">
        <f t="shared" ref="I222" si="186">L222+P222+T222+X222+AB222+AF222+AJ222+AN222+AR222+AV222+AZ222+BD222</f>
        <v>738820</v>
      </c>
      <c r="J222" s="995">
        <f t="shared" ref="J222" si="187">H222-I222</f>
        <v>0</v>
      </c>
      <c r="K222" s="996">
        <f>N222+R222+V222+Z222+AD222+AH222+AL222+AP222+AT222+AX222+BB222+BG222</f>
        <v>0</v>
      </c>
      <c r="L222" s="994"/>
      <c r="M222" s="994"/>
      <c r="N222" s="994"/>
      <c r="O222" s="994"/>
      <c r="P222" s="994"/>
      <c r="Q222" s="997"/>
      <c r="R222" s="994"/>
      <c r="S222" s="994"/>
      <c r="T222" s="994"/>
      <c r="U222" s="994"/>
      <c r="V222" s="994"/>
      <c r="W222" s="994"/>
      <c r="X222" s="994"/>
      <c r="Y222" s="998"/>
      <c r="Z222" s="994"/>
      <c r="AA222" s="994"/>
      <c r="AB222" s="994"/>
      <c r="AC222" s="994"/>
      <c r="AD222" s="994"/>
      <c r="AE222" s="994"/>
      <c r="AF222" s="994"/>
      <c r="AG222" s="994"/>
      <c r="AH222" s="994"/>
      <c r="AI222" s="994"/>
      <c r="AJ222" s="994">
        <v>738820</v>
      </c>
      <c r="AK222" s="994">
        <v>738820</v>
      </c>
      <c r="AL222" s="994"/>
      <c r="AM222" s="996">
        <f>AL222-AK222</f>
        <v>-738820</v>
      </c>
      <c r="AN222" s="994"/>
      <c r="AO222" s="994"/>
      <c r="AP222" s="994"/>
      <c r="AQ222" s="994"/>
      <c r="AR222" s="994"/>
      <c r="AS222" s="994"/>
      <c r="AT222" s="994"/>
      <c r="AU222" s="994"/>
      <c r="AV222" s="994"/>
      <c r="AW222" s="994"/>
      <c r="AX222" s="994"/>
      <c r="AY222" s="994"/>
      <c r="AZ222" s="994"/>
      <c r="BA222" s="994"/>
      <c r="BB222" s="994"/>
      <c r="BC222" s="994"/>
      <c r="BD222" s="994"/>
      <c r="BE222" s="999"/>
      <c r="BF222" s="1000"/>
      <c r="BG222" s="1000"/>
      <c r="BH222" s="1000"/>
      <c r="BI222" s="1000"/>
      <c r="BJ222" s="1005"/>
      <c r="BK222" s="1005"/>
      <c r="BL222" s="1005"/>
      <c r="BM222" s="999"/>
      <c r="BN222" s="1003"/>
      <c r="BQ222" s="1004"/>
    </row>
    <row r="223" spans="1:69" ht="39" customHeight="1" x14ac:dyDescent="0.2">
      <c r="A223" s="981" t="s">
        <v>665</v>
      </c>
      <c r="B223" s="132"/>
      <c r="C223" s="132"/>
      <c r="D223" s="132"/>
      <c r="E223" s="132"/>
      <c r="F223" s="572"/>
      <c r="G223" s="132"/>
      <c r="H223" s="260"/>
      <c r="I223" s="132"/>
      <c r="J223" s="132"/>
      <c r="K223" s="109"/>
      <c r="L223" s="132"/>
      <c r="M223" s="132"/>
      <c r="N223" s="132"/>
      <c r="O223" s="132"/>
      <c r="P223" s="132"/>
      <c r="Q223" s="163"/>
      <c r="R223" s="132"/>
      <c r="S223" s="132"/>
      <c r="T223" s="132"/>
      <c r="U223" s="132"/>
      <c r="V223" s="132"/>
      <c r="W223" s="132"/>
      <c r="X223" s="132"/>
      <c r="Y223" s="132"/>
      <c r="Z223" s="132"/>
      <c r="AA223" s="132"/>
      <c r="AB223" s="132"/>
      <c r="AC223" s="132"/>
      <c r="AD223" s="132"/>
      <c r="AE223" s="132"/>
      <c r="AF223" s="132"/>
      <c r="AG223" s="132"/>
      <c r="AH223" s="132"/>
      <c r="AI223" s="132"/>
      <c r="AJ223" s="132"/>
      <c r="AK223" s="132"/>
      <c r="AL223" s="132"/>
      <c r="AM223" s="132"/>
      <c r="AN223" s="132"/>
      <c r="AO223" s="132"/>
      <c r="AP223" s="132"/>
      <c r="AQ223" s="132"/>
      <c r="AR223" s="132"/>
      <c r="AS223" s="132"/>
      <c r="AT223" s="132"/>
      <c r="AU223" s="132"/>
      <c r="AV223" s="132"/>
      <c r="AW223" s="132"/>
      <c r="AX223" s="132"/>
      <c r="AY223" s="132"/>
      <c r="AZ223" s="132"/>
      <c r="BA223" s="132"/>
      <c r="BB223" s="132"/>
      <c r="BC223" s="132"/>
      <c r="BD223" s="1012"/>
      <c r="BE223" s="257"/>
      <c r="BQ223" s="230" t="str">
        <f t="shared" si="183"/>
        <v/>
      </c>
    </row>
    <row r="224" spans="1:69" ht="78.75" x14ac:dyDescent="0.2">
      <c r="A224" s="423" t="s">
        <v>666</v>
      </c>
      <c r="B224" s="23" t="s">
        <v>256</v>
      </c>
      <c r="C224" s="1013" t="s">
        <v>667</v>
      </c>
      <c r="D224" s="1013">
        <v>244</v>
      </c>
      <c r="E224" s="1013">
        <v>310</v>
      </c>
      <c r="F224" s="572"/>
      <c r="G224" s="132"/>
      <c r="H224" s="1008">
        <f>250000000+310000000</f>
        <v>560000000</v>
      </c>
      <c r="I224" s="635">
        <f t="shared" ref="I224" si="188">L224+P224+T224+X224+AB224+AF224+AJ224+AN224+AR224+AV224+AZ224+BD224</f>
        <v>250000000</v>
      </c>
      <c r="J224" s="743">
        <f t="shared" ref="J224" si="189">H224-I224</f>
        <v>310000000</v>
      </c>
      <c r="K224" s="1008">
        <f>N224+R224+V224+Z224+AD224+AH224+AL224+AP224+AT224+AX224+BB224+BG224</f>
        <v>0</v>
      </c>
      <c r="L224" s="132"/>
      <c r="M224" s="132"/>
      <c r="N224" s="132"/>
      <c r="O224" s="132"/>
      <c r="P224" s="132"/>
      <c r="Q224" s="163"/>
      <c r="R224" s="132"/>
      <c r="S224" s="132"/>
      <c r="T224" s="132"/>
      <c r="U224" s="132"/>
      <c r="V224" s="132"/>
      <c r="W224" s="132"/>
      <c r="X224" s="132"/>
      <c r="Y224" s="132"/>
      <c r="Z224" s="132"/>
      <c r="AA224" s="132"/>
      <c r="AB224" s="132"/>
      <c r="AC224" s="132"/>
      <c r="AD224" s="132"/>
      <c r="AE224" s="132"/>
      <c r="AF224" s="132"/>
      <c r="AG224" s="132"/>
      <c r="AH224" s="132"/>
      <c r="AI224" s="132"/>
      <c r="AJ224" s="132"/>
      <c r="AK224" s="132"/>
      <c r="AL224" s="132"/>
      <c r="AM224" s="132"/>
      <c r="AN224" s="132"/>
      <c r="AO224" s="132"/>
      <c r="AP224" s="132"/>
      <c r="AQ224" s="132"/>
      <c r="AR224" s="1008">
        <v>125000000</v>
      </c>
      <c r="AS224" s="132"/>
      <c r="AT224" s="132"/>
      <c r="AU224" s="132"/>
      <c r="AV224" s="1008">
        <v>125000000</v>
      </c>
      <c r="AW224" s="132"/>
      <c r="AX224" s="132"/>
      <c r="AY224" s="132"/>
      <c r="AZ224" s="132"/>
      <c r="BA224" s="132"/>
      <c r="BB224" s="132"/>
      <c r="BC224" s="132"/>
      <c r="BD224" s="1012"/>
      <c r="BE224" s="257"/>
      <c r="BQ224" s="230"/>
    </row>
    <row r="225" spans="1:69" ht="19.5" x14ac:dyDescent="0.2">
      <c r="H225" s="256"/>
      <c r="BD225" s="257"/>
      <c r="BE225" s="257"/>
      <c r="BQ225" s="230"/>
    </row>
    <row r="226" spans="1:69" ht="19.5" x14ac:dyDescent="0.2">
      <c r="H226" s="256"/>
      <c r="BD226" s="257"/>
      <c r="BE226" s="257"/>
      <c r="BQ226" s="230"/>
    </row>
    <row r="227" spans="1:69" s="136" customFormat="1" ht="19.5" x14ac:dyDescent="0.2">
      <c r="F227" s="581"/>
      <c r="H227" s="258"/>
      <c r="K227" s="155"/>
      <c r="Q227" s="138"/>
      <c r="T227" s="158"/>
      <c r="U227" s="158"/>
      <c r="V227" s="158"/>
      <c r="W227" s="158"/>
      <c r="X227" s="158"/>
      <c r="Y227" s="158"/>
      <c r="Z227" s="158"/>
      <c r="AA227" s="158"/>
      <c r="AB227" s="158"/>
      <c r="AC227" s="158"/>
      <c r="AD227" s="158"/>
      <c r="AE227" s="158"/>
      <c r="AF227" s="158"/>
      <c r="AG227" s="158"/>
      <c r="AH227" s="158"/>
      <c r="AI227" s="158"/>
      <c r="AJ227" s="158"/>
      <c r="AK227" s="158"/>
      <c r="AL227" s="158"/>
      <c r="AM227" s="158"/>
      <c r="AN227" s="158"/>
      <c r="AO227" s="158"/>
      <c r="AP227" s="158"/>
      <c r="AQ227" s="158"/>
      <c r="AR227" s="158"/>
      <c r="AS227" s="158"/>
      <c r="AT227" s="158"/>
      <c r="AU227" s="158"/>
      <c r="AV227" s="158"/>
      <c r="AW227" s="158"/>
      <c r="AX227" s="158"/>
      <c r="AY227" s="158"/>
      <c r="AZ227" s="158"/>
      <c r="BA227" s="158"/>
      <c r="BB227" s="158"/>
      <c r="BC227" s="158"/>
      <c r="BD227" s="158"/>
      <c r="BE227" s="158"/>
      <c r="BF227" s="158"/>
      <c r="BG227" s="158"/>
      <c r="BH227" s="158"/>
      <c r="BI227" s="259"/>
      <c r="BQ227" s="230" t="str">
        <f t="shared" si="183"/>
        <v/>
      </c>
    </row>
    <row r="228" spans="1:69" ht="19.5" x14ac:dyDescent="0.2">
      <c r="A228" s="105" t="s">
        <v>257</v>
      </c>
      <c r="C228" s="1117" t="s">
        <v>258</v>
      </c>
      <c r="D228" s="486" t="s">
        <v>259</v>
      </c>
      <c r="E228" s="132"/>
      <c r="F228" s="572"/>
      <c r="G228" s="132"/>
      <c r="H228" s="260"/>
      <c r="I228" s="132"/>
      <c r="J228" s="132"/>
      <c r="K228" s="486"/>
      <c r="L228" s="261">
        <f t="shared" ref="L228:W228" si="190">L18-L35-L44-L45+L101-L112+L121-L126-L127-L133+L142-L149+L167+L175-L184+L200+L176-L177</f>
        <v>0</v>
      </c>
      <c r="M228" s="261">
        <f t="shared" si="190"/>
        <v>0</v>
      </c>
      <c r="N228" s="261">
        <f t="shared" si="190"/>
        <v>0</v>
      </c>
      <c r="O228" s="261">
        <f t="shared" si="190"/>
        <v>0</v>
      </c>
      <c r="P228" s="261">
        <f t="shared" si="190"/>
        <v>23643942</v>
      </c>
      <c r="Q228" s="261">
        <f t="shared" si="190"/>
        <v>23643942</v>
      </c>
      <c r="R228" s="261">
        <f t="shared" si="190"/>
        <v>23643942</v>
      </c>
      <c r="S228" s="261">
        <f t="shared" si="190"/>
        <v>0</v>
      </c>
      <c r="T228" s="261">
        <f t="shared" si="190"/>
        <v>118485033.13</v>
      </c>
      <c r="U228" s="261">
        <f t="shared" si="190"/>
        <v>118485033.13</v>
      </c>
      <c r="V228" s="261">
        <f t="shared" si="190"/>
        <v>118485033.13</v>
      </c>
      <c r="W228" s="261">
        <f t="shared" si="190"/>
        <v>0</v>
      </c>
      <c r="X228" s="261">
        <f t="shared" ref="X228:BD228" si="191">X18-X35-X44-X45+X101-X112+X121-X126-X127-X133+X142+X143-X149+X167+X175-X184+X200+X176-X177</f>
        <v>1279101659.9800003</v>
      </c>
      <c r="Y228" s="261">
        <f t="shared" si="191"/>
        <v>1279101659.9800003</v>
      </c>
      <c r="Z228" s="261">
        <f t="shared" si="191"/>
        <v>1279081706.4700003</v>
      </c>
      <c r="AA228" s="261">
        <f t="shared" si="191"/>
        <v>-19953.509999971742</v>
      </c>
      <c r="AB228" s="261">
        <f t="shared" si="191"/>
        <v>281153519.66999996</v>
      </c>
      <c r="AC228" s="261">
        <f t="shared" si="191"/>
        <v>281153519.66999996</v>
      </c>
      <c r="AD228" s="261">
        <f t="shared" si="191"/>
        <v>281782849.32999998</v>
      </c>
      <c r="AE228" s="261">
        <f t="shared" si="191"/>
        <v>629329.66</v>
      </c>
      <c r="AF228" s="261">
        <f t="shared" si="191"/>
        <v>757622170.87000012</v>
      </c>
      <c r="AG228" s="261">
        <f t="shared" si="191"/>
        <v>757622170.87000012</v>
      </c>
      <c r="AH228" s="261">
        <f t="shared" si="191"/>
        <v>752680920.2700001</v>
      </c>
      <c r="AI228" s="261">
        <f t="shared" si="191"/>
        <v>-4311920.9399999939</v>
      </c>
      <c r="AJ228" s="261">
        <f t="shared" si="191"/>
        <v>156941824.53999999</v>
      </c>
      <c r="AK228" s="261">
        <f t="shared" si="191"/>
        <v>152596297.09999999</v>
      </c>
      <c r="AL228" s="261">
        <f t="shared" si="191"/>
        <v>22917502.52</v>
      </c>
      <c r="AM228" s="261">
        <f t="shared" si="191"/>
        <v>-129178794.57999998</v>
      </c>
      <c r="AN228" s="261">
        <f t="shared" si="191"/>
        <v>1082287579.4200001</v>
      </c>
      <c r="AO228" s="261">
        <f t="shared" si="191"/>
        <v>18164112.390000001</v>
      </c>
      <c r="AP228" s="261">
        <f t="shared" si="191"/>
        <v>0</v>
      </c>
      <c r="AQ228" s="261">
        <f t="shared" si="191"/>
        <v>-37949112.390000001</v>
      </c>
      <c r="AR228" s="261">
        <f t="shared" si="191"/>
        <v>231960331.01999998</v>
      </c>
      <c r="AS228" s="261">
        <f t="shared" si="191"/>
        <v>0</v>
      </c>
      <c r="AT228" s="261">
        <f t="shared" si="191"/>
        <v>0</v>
      </c>
      <c r="AU228" s="261">
        <f t="shared" si="191"/>
        <v>609376.14999999839</v>
      </c>
      <c r="AV228" s="261">
        <f t="shared" si="191"/>
        <v>424919552.38</v>
      </c>
      <c r="AW228" s="261">
        <f t="shared" si="191"/>
        <v>0</v>
      </c>
      <c r="AX228" s="261">
        <f t="shared" si="191"/>
        <v>0</v>
      </c>
      <c r="AY228" s="261">
        <f t="shared" si="191"/>
        <v>0</v>
      </c>
      <c r="AZ228" s="261">
        <f t="shared" si="191"/>
        <v>114068872.94000001</v>
      </c>
      <c r="BA228" s="261">
        <f t="shared" si="191"/>
        <v>0</v>
      </c>
      <c r="BB228" s="261">
        <f t="shared" si="191"/>
        <v>0</v>
      </c>
      <c r="BC228" s="261">
        <f t="shared" si="191"/>
        <v>0</v>
      </c>
      <c r="BD228" s="261">
        <f t="shared" si="191"/>
        <v>419555541.49018037</v>
      </c>
      <c r="BE228" s="261" t="e">
        <f>BE18-BE44-BE45+BE101-BE112+BE121-BE126-BE127-BE133-#REF!+BE142-BE149+BE167+BE175-BE177+BE200</f>
        <v>#REF!</v>
      </c>
      <c r="BF228" s="261" t="e">
        <f>BF18-BF44+BF101-BF112+BF121-BF126-BF133-#REF!+BF142-BF149+BF167+BF175-BF177+BF200</f>
        <v>#REF!</v>
      </c>
      <c r="BG228" s="261" t="e">
        <f>BG18-BG44+BG101-BG112+BG121-BG126-BG133-#REF!+BG142-BG149+BG167+BG175-BG177+BG200</f>
        <v>#REF!</v>
      </c>
      <c r="BH228" s="261" t="e">
        <f>BH18-BH44+BH101-BH112+BH121-BH126-BH133-#REF!+BH142-BH149+BH167+BH175-BH177+BH200</f>
        <v>#REF!</v>
      </c>
      <c r="BI228" s="262"/>
      <c r="BQ228" s="230" t="str">
        <f t="shared" si="183"/>
        <v/>
      </c>
    </row>
    <row r="229" spans="1:69" ht="19.5" x14ac:dyDescent="0.2">
      <c r="C229" s="1118"/>
      <c r="D229" s="486" t="s">
        <v>260</v>
      </c>
      <c r="E229" s="132"/>
      <c r="F229" s="572"/>
      <c r="G229" s="132"/>
      <c r="H229" s="260"/>
      <c r="I229" s="132"/>
      <c r="J229" s="132"/>
      <c r="K229" s="486"/>
      <c r="L229" s="263">
        <f t="shared" ref="L229:BD229" si="192">L19+L103+L122+L168+L201</f>
        <v>0</v>
      </c>
      <c r="M229" s="263">
        <f t="shared" si="192"/>
        <v>0</v>
      </c>
      <c r="N229" s="263">
        <f t="shared" si="192"/>
        <v>0</v>
      </c>
      <c r="O229" s="263">
        <f t="shared" si="192"/>
        <v>0</v>
      </c>
      <c r="P229" s="263">
        <f t="shared" si="192"/>
        <v>0</v>
      </c>
      <c r="Q229" s="263">
        <f t="shared" si="192"/>
        <v>0</v>
      </c>
      <c r="R229" s="263">
        <f t="shared" si="192"/>
        <v>0</v>
      </c>
      <c r="S229" s="263">
        <f t="shared" si="192"/>
        <v>0</v>
      </c>
      <c r="T229" s="263">
        <f t="shared" si="192"/>
        <v>138974058.31</v>
      </c>
      <c r="U229" s="263">
        <f t="shared" si="192"/>
        <v>138974058.31</v>
      </c>
      <c r="V229" s="263">
        <f t="shared" si="192"/>
        <v>138974058.31</v>
      </c>
      <c r="W229" s="263">
        <f t="shared" si="192"/>
        <v>0</v>
      </c>
      <c r="X229" s="263">
        <f t="shared" si="192"/>
        <v>533648088.53999996</v>
      </c>
      <c r="Y229" s="263">
        <f t="shared" si="192"/>
        <v>533648088.53999996</v>
      </c>
      <c r="Z229" s="263">
        <f t="shared" si="192"/>
        <v>533599236.82999998</v>
      </c>
      <c r="AA229" s="263">
        <f t="shared" si="192"/>
        <v>-48851.710000000894</v>
      </c>
      <c r="AB229" s="263">
        <f t="shared" si="192"/>
        <v>119916700.13999999</v>
      </c>
      <c r="AC229" s="263">
        <f t="shared" si="192"/>
        <v>119916700.13999999</v>
      </c>
      <c r="AD229" s="263">
        <f t="shared" si="192"/>
        <v>119916700.13999999</v>
      </c>
      <c r="AE229" s="263">
        <f t="shared" si="192"/>
        <v>0</v>
      </c>
      <c r="AF229" s="263">
        <f t="shared" si="192"/>
        <v>133052528.49000001</v>
      </c>
      <c r="AG229" s="263">
        <f t="shared" si="192"/>
        <v>133052528.49000001</v>
      </c>
      <c r="AH229" s="263">
        <f t="shared" si="192"/>
        <v>122334271.39999999</v>
      </c>
      <c r="AI229" s="263">
        <f t="shared" si="192"/>
        <v>-10718257.090000002</v>
      </c>
      <c r="AJ229" s="263">
        <f t="shared" si="192"/>
        <v>66329087.639999993</v>
      </c>
      <c r="AK229" s="263">
        <f t="shared" si="192"/>
        <v>55690037.700000003</v>
      </c>
      <c r="AL229" s="263">
        <f t="shared" si="192"/>
        <v>23022179.66</v>
      </c>
      <c r="AM229" s="263">
        <f t="shared" si="192"/>
        <v>-32667858.040000007</v>
      </c>
      <c r="AN229" s="263">
        <f t="shared" si="192"/>
        <v>14259981.320000002</v>
      </c>
      <c r="AO229" s="263">
        <f t="shared" si="192"/>
        <v>51461.71</v>
      </c>
      <c r="AP229" s="263">
        <f t="shared" si="192"/>
        <v>0</v>
      </c>
      <c r="AQ229" s="263">
        <f t="shared" si="192"/>
        <v>-51461.71</v>
      </c>
      <c r="AR229" s="263">
        <f t="shared" si="192"/>
        <v>16062890.26</v>
      </c>
      <c r="AS229" s="263">
        <f t="shared" si="192"/>
        <v>0</v>
      </c>
      <c r="AT229" s="263">
        <f t="shared" si="192"/>
        <v>0</v>
      </c>
      <c r="AU229" s="263">
        <f t="shared" si="192"/>
        <v>-48851.710000000894</v>
      </c>
      <c r="AV229" s="263">
        <f t="shared" si="192"/>
        <v>16022127.130000001</v>
      </c>
      <c r="AW229" s="263">
        <f t="shared" si="192"/>
        <v>0</v>
      </c>
      <c r="AX229" s="263">
        <f t="shared" si="192"/>
        <v>0</v>
      </c>
      <c r="AY229" s="263">
        <f t="shared" si="192"/>
        <v>0</v>
      </c>
      <c r="AZ229" s="263">
        <f t="shared" si="192"/>
        <v>38601800</v>
      </c>
      <c r="BA229" s="263">
        <f t="shared" si="192"/>
        <v>0</v>
      </c>
      <c r="BB229" s="263">
        <f t="shared" si="192"/>
        <v>0</v>
      </c>
      <c r="BC229" s="263">
        <f t="shared" si="192"/>
        <v>0</v>
      </c>
      <c r="BD229" s="263">
        <f t="shared" si="192"/>
        <v>35090488.109999999</v>
      </c>
      <c r="BE229" s="264">
        <f>BE168+BE122+BE103+BE19+BE201</f>
        <v>0</v>
      </c>
      <c r="BF229" s="264">
        <f>BF168+BF122+BF103+BF19+BF201</f>
        <v>0</v>
      </c>
      <c r="BG229" s="264">
        <f>BG168+BG122+BG103+BG19+BG201</f>
        <v>0</v>
      </c>
      <c r="BH229" s="264">
        <f>BH168+BH122+BH103+BH19+BH201</f>
        <v>0</v>
      </c>
      <c r="BI229" s="266"/>
      <c r="BQ229" s="230" t="str">
        <f t="shared" si="183"/>
        <v/>
      </c>
    </row>
    <row r="230" spans="1:69" ht="19.5" x14ac:dyDescent="0.2">
      <c r="C230" s="1119"/>
      <c r="D230" s="486" t="s">
        <v>261</v>
      </c>
      <c r="E230" s="132"/>
      <c r="F230" s="572"/>
      <c r="G230" s="132"/>
      <c r="H230" s="260"/>
      <c r="I230" s="132"/>
      <c r="J230" s="132"/>
      <c r="K230" s="486"/>
      <c r="L230" s="265">
        <f>L228+L229</f>
        <v>0</v>
      </c>
      <c r="M230" s="265">
        <f t="shared" ref="M230:BD230" si="193">M228+M229</f>
        <v>0</v>
      </c>
      <c r="N230" s="265">
        <f t="shared" si="193"/>
        <v>0</v>
      </c>
      <c r="O230" s="265">
        <f t="shared" si="193"/>
        <v>0</v>
      </c>
      <c r="P230" s="265">
        <f t="shared" si="193"/>
        <v>23643942</v>
      </c>
      <c r="Q230" s="265">
        <f t="shared" si="193"/>
        <v>23643942</v>
      </c>
      <c r="R230" s="265">
        <f t="shared" si="193"/>
        <v>23643942</v>
      </c>
      <c r="S230" s="265">
        <f t="shared" si="193"/>
        <v>0</v>
      </c>
      <c r="T230" s="265">
        <f t="shared" si="193"/>
        <v>257459091.44</v>
      </c>
      <c r="U230" s="265">
        <f t="shared" si="193"/>
        <v>257459091.44</v>
      </c>
      <c r="V230" s="265">
        <f t="shared" si="193"/>
        <v>257459091.44</v>
      </c>
      <c r="W230" s="265">
        <f t="shared" si="193"/>
        <v>0</v>
      </c>
      <c r="X230" s="265">
        <f>X228+X229</f>
        <v>1812749748.5200002</v>
      </c>
      <c r="Y230" s="265">
        <f>Y228+Y229</f>
        <v>1812749748.5200002</v>
      </c>
      <c r="Z230" s="265">
        <f>Z228+Z229</f>
        <v>1812680943.3000002</v>
      </c>
      <c r="AA230" s="265">
        <f>AA228+AA229</f>
        <v>-68805.219999972644</v>
      </c>
      <c r="AB230" s="265">
        <f t="shared" si="193"/>
        <v>401070219.80999994</v>
      </c>
      <c r="AC230" s="265">
        <f t="shared" si="193"/>
        <v>401070219.80999994</v>
      </c>
      <c r="AD230" s="265">
        <f t="shared" si="193"/>
        <v>401699549.46999997</v>
      </c>
      <c r="AE230" s="265">
        <f t="shared" si="193"/>
        <v>629329.66</v>
      </c>
      <c r="AF230" s="265">
        <f t="shared" si="193"/>
        <v>890674699.36000013</v>
      </c>
      <c r="AG230" s="265">
        <f t="shared" si="193"/>
        <v>890674699.36000013</v>
      </c>
      <c r="AH230" s="265">
        <f t="shared" si="193"/>
        <v>875015191.67000008</v>
      </c>
      <c r="AI230" s="265">
        <f t="shared" si="193"/>
        <v>-15030178.029999996</v>
      </c>
      <c r="AJ230" s="265">
        <f t="shared" si="193"/>
        <v>223270912.17999998</v>
      </c>
      <c r="AK230" s="265">
        <f t="shared" si="193"/>
        <v>208286334.80000001</v>
      </c>
      <c r="AL230" s="265">
        <f t="shared" si="193"/>
        <v>45939682.18</v>
      </c>
      <c r="AM230" s="265">
        <f t="shared" si="193"/>
        <v>-161846652.62</v>
      </c>
      <c r="AN230" s="265">
        <f t="shared" si="193"/>
        <v>1096547560.74</v>
      </c>
      <c r="AO230" s="265">
        <f t="shared" si="193"/>
        <v>18215574.100000001</v>
      </c>
      <c r="AP230" s="265">
        <f t="shared" si="193"/>
        <v>0</v>
      </c>
      <c r="AQ230" s="265">
        <f t="shared" si="193"/>
        <v>-38000574.100000001</v>
      </c>
      <c r="AR230" s="265">
        <f t="shared" si="193"/>
        <v>248023221.27999997</v>
      </c>
      <c r="AS230" s="265">
        <f t="shared" si="193"/>
        <v>0</v>
      </c>
      <c r="AT230" s="265">
        <f t="shared" si="193"/>
        <v>0</v>
      </c>
      <c r="AU230" s="265">
        <f t="shared" si="193"/>
        <v>560524.4399999975</v>
      </c>
      <c r="AV230" s="265">
        <f t="shared" si="193"/>
        <v>440941679.50999999</v>
      </c>
      <c r="AW230" s="265">
        <f t="shared" si="193"/>
        <v>0</v>
      </c>
      <c r="AX230" s="265">
        <f t="shared" si="193"/>
        <v>0</v>
      </c>
      <c r="AY230" s="265">
        <f t="shared" si="193"/>
        <v>0</v>
      </c>
      <c r="AZ230" s="265">
        <f t="shared" si="193"/>
        <v>152670672.94</v>
      </c>
      <c r="BA230" s="265">
        <f t="shared" si="193"/>
        <v>0</v>
      </c>
      <c r="BB230" s="265">
        <f t="shared" si="193"/>
        <v>0</v>
      </c>
      <c r="BC230" s="265">
        <f t="shared" si="193"/>
        <v>0</v>
      </c>
      <c r="BD230" s="265">
        <f t="shared" si="193"/>
        <v>454646029.60018039</v>
      </c>
      <c r="BE230" s="265" t="e">
        <f>BE228+BE229</f>
        <v>#REF!</v>
      </c>
      <c r="BF230" s="265" t="e">
        <f>BF228+BF229</f>
        <v>#REF!</v>
      </c>
      <c r="BG230" s="265" t="e">
        <f>BG228+BG229</f>
        <v>#REF!</v>
      </c>
      <c r="BH230" s="265" t="e">
        <f>BH228+BH229</f>
        <v>#REF!</v>
      </c>
      <c r="BI230" s="266"/>
      <c r="BQ230" s="230" t="str">
        <f t="shared" si="183"/>
        <v/>
      </c>
    </row>
    <row r="231" spans="1:69" x14ac:dyDescent="0.2">
      <c r="A231" s="105" t="s">
        <v>262</v>
      </c>
      <c r="C231" s="132"/>
      <c r="D231" s="132"/>
      <c r="E231" s="132"/>
      <c r="F231" s="572"/>
      <c r="G231" s="132"/>
      <c r="H231" s="260"/>
      <c r="I231" s="486"/>
      <c r="J231" s="42"/>
      <c r="K231" s="109"/>
      <c r="Q231" s="105"/>
    </row>
    <row r="232" spans="1:69" x14ac:dyDescent="0.2">
      <c r="C232" s="486" t="s">
        <v>263</v>
      </c>
      <c r="D232" s="486" t="s">
        <v>259</v>
      </c>
      <c r="E232" s="132"/>
      <c r="F232" s="572"/>
      <c r="G232" s="132"/>
      <c r="H232" s="260"/>
      <c r="I232" s="132"/>
      <c r="J232" s="132"/>
      <c r="K232" s="109"/>
      <c r="L232" s="164">
        <f t="shared" ref="L232:W232" si="194">L35+L44+L45+L133</f>
        <v>0</v>
      </c>
      <c r="M232" s="164">
        <f t="shared" si="194"/>
        <v>0</v>
      </c>
      <c r="N232" s="164">
        <f t="shared" si="194"/>
        <v>0</v>
      </c>
      <c r="O232" s="164">
        <f t="shared" si="194"/>
        <v>0</v>
      </c>
      <c r="P232" s="164">
        <f t="shared" si="194"/>
        <v>0</v>
      </c>
      <c r="Q232" s="164">
        <f t="shared" si="194"/>
        <v>0</v>
      </c>
      <c r="R232" s="164">
        <f t="shared" si="194"/>
        <v>0</v>
      </c>
      <c r="S232" s="164">
        <f t="shared" si="194"/>
        <v>0</v>
      </c>
      <c r="T232" s="164">
        <f t="shared" si="194"/>
        <v>0</v>
      </c>
      <c r="U232" s="164">
        <f t="shared" si="194"/>
        <v>0</v>
      </c>
      <c r="V232" s="164">
        <f t="shared" si="194"/>
        <v>0</v>
      </c>
      <c r="W232" s="164">
        <f t="shared" si="194"/>
        <v>0</v>
      </c>
      <c r="X232" s="164">
        <f t="shared" ref="X232:BD232" si="195">X35+X44+X45+X112+X133</f>
        <v>0</v>
      </c>
      <c r="Y232" s="164">
        <f t="shared" si="195"/>
        <v>0</v>
      </c>
      <c r="Z232" s="164">
        <f t="shared" si="195"/>
        <v>0</v>
      </c>
      <c r="AA232" s="164">
        <f t="shared" si="195"/>
        <v>0</v>
      </c>
      <c r="AB232" s="164">
        <f t="shared" si="195"/>
        <v>0</v>
      </c>
      <c r="AC232" s="164">
        <f t="shared" si="195"/>
        <v>0</v>
      </c>
      <c r="AD232" s="164">
        <f t="shared" si="195"/>
        <v>0</v>
      </c>
      <c r="AE232" s="164">
        <f t="shared" si="195"/>
        <v>0</v>
      </c>
      <c r="AF232" s="164">
        <f t="shared" si="195"/>
        <v>0</v>
      </c>
      <c r="AG232" s="164">
        <f t="shared" si="195"/>
        <v>0</v>
      </c>
      <c r="AH232" s="164">
        <f t="shared" si="195"/>
        <v>0</v>
      </c>
      <c r="AI232" s="164">
        <f t="shared" si="195"/>
        <v>0</v>
      </c>
      <c r="AJ232" s="164">
        <f t="shared" si="195"/>
        <v>0</v>
      </c>
      <c r="AK232" s="164">
        <f t="shared" si="195"/>
        <v>0</v>
      </c>
      <c r="AL232" s="164">
        <f t="shared" si="195"/>
        <v>0</v>
      </c>
      <c r="AM232" s="164">
        <f t="shared" si="195"/>
        <v>0</v>
      </c>
      <c r="AN232" s="164">
        <f t="shared" si="195"/>
        <v>41630000</v>
      </c>
      <c r="AO232" s="164">
        <f t="shared" si="195"/>
        <v>0</v>
      </c>
      <c r="AP232" s="164">
        <f t="shared" si="195"/>
        <v>0</v>
      </c>
      <c r="AQ232" s="164">
        <f t="shared" si="195"/>
        <v>0</v>
      </c>
      <c r="AR232" s="164">
        <f t="shared" si="195"/>
        <v>15000000</v>
      </c>
      <c r="AS232" s="164">
        <f t="shared" si="195"/>
        <v>0</v>
      </c>
      <c r="AT232" s="164">
        <f t="shared" si="195"/>
        <v>0</v>
      </c>
      <c r="AU232" s="164">
        <f t="shared" si="195"/>
        <v>0</v>
      </c>
      <c r="AV232" s="164">
        <f t="shared" si="195"/>
        <v>59940000</v>
      </c>
      <c r="AW232" s="164">
        <f t="shared" si="195"/>
        <v>0</v>
      </c>
      <c r="AX232" s="164">
        <f t="shared" si="195"/>
        <v>0</v>
      </c>
      <c r="AY232" s="164">
        <f t="shared" si="195"/>
        <v>0</v>
      </c>
      <c r="AZ232" s="164">
        <f t="shared" si="195"/>
        <v>10000000</v>
      </c>
      <c r="BA232" s="164">
        <f t="shared" si="195"/>
        <v>0</v>
      </c>
      <c r="BB232" s="164">
        <f t="shared" si="195"/>
        <v>0</v>
      </c>
      <c r="BC232" s="164">
        <f t="shared" si="195"/>
        <v>0</v>
      </c>
      <c r="BD232" s="164">
        <f t="shared" si="195"/>
        <v>0</v>
      </c>
      <c r="BE232" s="164" t="e">
        <f>BE44+BE45+BE112+BE133+#REF!</f>
        <v>#REF!</v>
      </c>
      <c r="BF232" s="164" t="e">
        <f>BF44+BF112+BF133+#REF!</f>
        <v>#REF!</v>
      </c>
      <c r="BG232" s="164" t="e">
        <f>BG44+BG112+BG133+#REF!</f>
        <v>#REF!</v>
      </c>
      <c r="BH232" s="164" t="e">
        <f>BH44+BH112+BH133+#REF!</f>
        <v>#REF!</v>
      </c>
    </row>
    <row r="233" spans="1:69" x14ac:dyDescent="0.2">
      <c r="C233" s="486"/>
      <c r="D233" s="132"/>
      <c r="E233" s="132"/>
      <c r="F233" s="572"/>
      <c r="G233" s="132"/>
      <c r="H233" s="260"/>
      <c r="I233" s="132"/>
      <c r="J233" s="132"/>
      <c r="K233" s="109"/>
      <c r="L233" s="132"/>
      <c r="M233" s="132"/>
      <c r="N233" s="132"/>
      <c r="O233" s="132"/>
      <c r="P233" s="132"/>
      <c r="Q233" s="132"/>
      <c r="R233" s="132"/>
      <c r="S233" s="132"/>
      <c r="T233" s="132"/>
      <c r="U233" s="132"/>
      <c r="V233" s="132"/>
      <c r="W233" s="132"/>
      <c r="X233" s="132"/>
      <c r="Y233" s="132"/>
      <c r="Z233" s="132"/>
      <c r="AA233" s="132"/>
      <c r="AB233" s="132"/>
      <c r="AC233" s="132"/>
      <c r="AD233" s="132"/>
      <c r="AE233" s="132"/>
      <c r="AF233" s="132"/>
      <c r="AG233" s="132"/>
      <c r="AH233" s="132"/>
      <c r="AI233" s="132"/>
      <c r="AJ233" s="132"/>
      <c r="AK233" s="132"/>
      <c r="AL233" s="132"/>
      <c r="AM233" s="132"/>
      <c r="AN233" s="132"/>
      <c r="AO233" s="132"/>
      <c r="AP233" s="132"/>
      <c r="AQ233" s="132"/>
      <c r="AR233" s="132"/>
      <c r="AS233" s="132"/>
      <c r="AT233" s="132"/>
      <c r="AU233" s="132"/>
      <c r="AV233" s="132"/>
      <c r="AW233" s="132"/>
      <c r="AX233" s="132"/>
      <c r="AY233" s="132"/>
      <c r="AZ233" s="132"/>
      <c r="BA233" s="261"/>
      <c r="BB233" s="132"/>
      <c r="BC233" s="132"/>
      <c r="BD233" s="132"/>
      <c r="BE233" s="132"/>
      <c r="BF233" s="132"/>
      <c r="BG233" s="132"/>
      <c r="BH233" s="132"/>
    </row>
    <row r="234" spans="1:69" x14ac:dyDescent="0.2">
      <c r="C234" s="486" t="s">
        <v>377</v>
      </c>
      <c r="D234" s="486" t="s">
        <v>259</v>
      </c>
      <c r="E234" s="132"/>
      <c r="F234" s="572"/>
      <c r="G234" s="132"/>
      <c r="H234" s="260"/>
      <c r="I234" s="132"/>
      <c r="J234" s="132"/>
      <c r="K234" s="109"/>
      <c r="L234" s="132"/>
      <c r="M234" s="132"/>
      <c r="N234" s="164">
        <f>N126</f>
        <v>0</v>
      </c>
      <c r="O234" s="164">
        <f>O126</f>
        <v>0</v>
      </c>
      <c r="P234" s="164">
        <f t="shared" ref="P234:BH234" si="196">P126+P127</f>
        <v>0</v>
      </c>
      <c r="Q234" s="164">
        <f t="shared" si="196"/>
        <v>0</v>
      </c>
      <c r="R234" s="164">
        <f t="shared" si="196"/>
        <v>0</v>
      </c>
      <c r="S234" s="164">
        <f t="shared" si="196"/>
        <v>0</v>
      </c>
      <c r="T234" s="164">
        <f t="shared" si="196"/>
        <v>0</v>
      </c>
      <c r="U234" s="164">
        <f t="shared" si="196"/>
        <v>0</v>
      </c>
      <c r="V234" s="164">
        <f t="shared" si="196"/>
        <v>0</v>
      </c>
      <c r="W234" s="164">
        <f t="shared" si="196"/>
        <v>0</v>
      </c>
      <c r="X234" s="164">
        <f t="shared" si="196"/>
        <v>0</v>
      </c>
      <c r="Y234" s="164">
        <f t="shared" si="196"/>
        <v>0</v>
      </c>
      <c r="Z234" s="164">
        <f t="shared" si="196"/>
        <v>0</v>
      </c>
      <c r="AA234" s="164">
        <f t="shared" si="196"/>
        <v>0</v>
      </c>
      <c r="AB234" s="164">
        <f t="shared" si="196"/>
        <v>0</v>
      </c>
      <c r="AC234" s="164">
        <f t="shared" si="196"/>
        <v>0</v>
      </c>
      <c r="AD234" s="164">
        <f t="shared" si="196"/>
        <v>0</v>
      </c>
      <c r="AE234" s="164">
        <f t="shared" si="196"/>
        <v>0</v>
      </c>
      <c r="AF234" s="164">
        <f t="shared" si="196"/>
        <v>44895783.350000001</v>
      </c>
      <c r="AG234" s="164">
        <f t="shared" si="196"/>
        <v>44895783.350000001</v>
      </c>
      <c r="AH234" s="164">
        <f t="shared" si="196"/>
        <v>44895783.350000001</v>
      </c>
      <c r="AI234" s="164">
        <f t="shared" si="196"/>
        <v>0</v>
      </c>
      <c r="AJ234" s="164">
        <f t="shared" si="196"/>
        <v>0</v>
      </c>
      <c r="AK234" s="164">
        <f t="shared" si="196"/>
        <v>0</v>
      </c>
      <c r="AL234" s="164">
        <f t="shared" si="196"/>
        <v>0</v>
      </c>
      <c r="AM234" s="164">
        <f t="shared" si="196"/>
        <v>0</v>
      </c>
      <c r="AN234" s="164">
        <f t="shared" si="196"/>
        <v>0</v>
      </c>
      <c r="AO234" s="164">
        <f t="shared" si="196"/>
        <v>0</v>
      </c>
      <c r="AP234" s="164">
        <f t="shared" si="196"/>
        <v>0</v>
      </c>
      <c r="AQ234" s="164">
        <f t="shared" si="196"/>
        <v>0</v>
      </c>
      <c r="AR234" s="164">
        <f t="shared" si="196"/>
        <v>0</v>
      </c>
      <c r="AS234" s="164">
        <f t="shared" si="196"/>
        <v>0</v>
      </c>
      <c r="AT234" s="164">
        <f t="shared" si="196"/>
        <v>0</v>
      </c>
      <c r="AU234" s="164">
        <f t="shared" si="196"/>
        <v>0</v>
      </c>
      <c r="AV234" s="164">
        <f t="shared" si="196"/>
        <v>13192816.65</v>
      </c>
      <c r="AW234" s="164">
        <f t="shared" si="196"/>
        <v>0</v>
      </c>
      <c r="AX234" s="164">
        <f t="shared" si="196"/>
        <v>0</v>
      </c>
      <c r="AY234" s="164">
        <f t="shared" si="196"/>
        <v>0</v>
      </c>
      <c r="AZ234" s="164">
        <f t="shared" si="196"/>
        <v>0</v>
      </c>
      <c r="BA234" s="164">
        <f t="shared" si="196"/>
        <v>0</v>
      </c>
      <c r="BB234" s="164">
        <f t="shared" si="196"/>
        <v>0</v>
      </c>
      <c r="BC234" s="164">
        <f t="shared" si="196"/>
        <v>0</v>
      </c>
      <c r="BD234" s="164">
        <f t="shared" si="196"/>
        <v>0</v>
      </c>
      <c r="BE234" s="164">
        <f t="shared" si="196"/>
        <v>0</v>
      </c>
      <c r="BF234" s="164">
        <f t="shared" si="196"/>
        <v>0</v>
      </c>
      <c r="BG234" s="164">
        <f t="shared" si="196"/>
        <v>0</v>
      </c>
      <c r="BH234" s="164">
        <f t="shared" si="196"/>
        <v>0</v>
      </c>
    </row>
    <row r="235" spans="1:69" x14ac:dyDescent="0.2">
      <c r="C235" s="486"/>
      <c r="D235" s="132"/>
      <c r="E235" s="132"/>
      <c r="F235" s="572"/>
      <c r="G235" s="132"/>
      <c r="H235" s="260"/>
      <c r="I235" s="132"/>
      <c r="J235" s="132"/>
      <c r="K235" s="109"/>
      <c r="L235" s="132"/>
      <c r="M235" s="132"/>
      <c r="N235" s="132"/>
      <c r="O235" s="132"/>
      <c r="P235" s="132"/>
      <c r="Q235" s="132"/>
      <c r="R235" s="132"/>
      <c r="S235" s="132"/>
      <c r="T235" s="132"/>
      <c r="U235" s="132"/>
      <c r="V235" s="132"/>
      <c r="W235" s="132"/>
      <c r="X235" s="132"/>
      <c r="Y235" s="132"/>
      <c r="Z235" s="132"/>
      <c r="AA235" s="132"/>
      <c r="AB235" s="132"/>
      <c r="AC235" s="132"/>
      <c r="AD235" s="132"/>
      <c r="AE235" s="132"/>
      <c r="AF235" s="132"/>
      <c r="AG235" s="132"/>
      <c r="AH235" s="132"/>
      <c r="AI235" s="132"/>
      <c r="AJ235" s="132"/>
      <c r="AK235" s="132"/>
      <c r="AL235" s="132"/>
      <c r="AM235" s="132"/>
      <c r="AN235" s="132"/>
      <c r="AO235" s="132"/>
      <c r="AP235" s="132"/>
      <c r="AQ235" s="132"/>
      <c r="AR235" s="132"/>
      <c r="AS235" s="132"/>
      <c r="AT235" s="132"/>
      <c r="AU235" s="132"/>
      <c r="AV235" s="132"/>
      <c r="AW235" s="132"/>
      <c r="AX235" s="132"/>
      <c r="AY235" s="132"/>
      <c r="AZ235" s="132"/>
      <c r="BA235" s="261"/>
      <c r="BB235" s="132"/>
      <c r="BC235" s="132"/>
      <c r="BD235" s="132"/>
      <c r="BE235" s="132"/>
      <c r="BF235" s="132"/>
      <c r="BG235" s="132"/>
      <c r="BH235" s="132"/>
    </row>
    <row r="236" spans="1:69" ht="47.25" x14ac:dyDescent="0.2">
      <c r="C236" s="481" t="s">
        <v>264</v>
      </c>
      <c r="D236" s="486" t="s">
        <v>259</v>
      </c>
      <c r="E236" s="132"/>
      <c r="F236" s="572"/>
      <c r="G236" s="132"/>
      <c r="H236" s="260"/>
      <c r="I236" s="132"/>
      <c r="J236" s="132"/>
      <c r="K236" s="132"/>
      <c r="L236" s="261">
        <f>L149+L177+L211</f>
        <v>33084630</v>
      </c>
      <c r="M236" s="261">
        <f>M149+M177+M211</f>
        <v>33084630</v>
      </c>
      <c r="N236" s="261">
        <f>N149+N177+N211</f>
        <v>33084630</v>
      </c>
      <c r="O236" s="261">
        <f>O149+O177+O211</f>
        <v>0</v>
      </c>
      <c r="P236" s="261">
        <f t="shared" ref="P236:AI236" si="197">P149+P177+P184+P211</f>
        <v>33437361.149999999</v>
      </c>
      <c r="Q236" s="261">
        <f t="shared" si="197"/>
        <v>33437361.149999999</v>
      </c>
      <c r="R236" s="261">
        <f t="shared" si="197"/>
        <v>33437361.149999999</v>
      </c>
      <c r="S236" s="261">
        <f t="shared" si="197"/>
        <v>0</v>
      </c>
      <c r="T236" s="261">
        <f t="shared" si="197"/>
        <v>33822108.129999995</v>
      </c>
      <c r="U236" s="261">
        <f t="shared" si="197"/>
        <v>33822108.129999995</v>
      </c>
      <c r="V236" s="261">
        <f t="shared" si="197"/>
        <v>0</v>
      </c>
      <c r="W236" s="261">
        <f t="shared" si="197"/>
        <v>0</v>
      </c>
      <c r="X236" s="261">
        <f t="shared" si="197"/>
        <v>34857533.039999999</v>
      </c>
      <c r="Y236" s="261">
        <f t="shared" si="197"/>
        <v>34857533.039999999</v>
      </c>
      <c r="Z236" s="261">
        <f t="shared" si="197"/>
        <v>22848</v>
      </c>
      <c r="AA236" s="261">
        <f t="shared" si="197"/>
        <v>0</v>
      </c>
      <c r="AB236" s="261">
        <f t="shared" si="197"/>
        <v>38260616.340000004</v>
      </c>
      <c r="AC236" s="261">
        <f t="shared" si="197"/>
        <v>0</v>
      </c>
      <c r="AD236" s="261">
        <f t="shared" si="197"/>
        <v>0</v>
      </c>
      <c r="AE236" s="261">
        <f t="shared" si="197"/>
        <v>0</v>
      </c>
      <c r="AF236" s="261">
        <f t="shared" si="197"/>
        <v>44354642</v>
      </c>
      <c r="AG236" s="261">
        <f t="shared" si="197"/>
        <v>44354642</v>
      </c>
      <c r="AH236" s="261">
        <f t="shared" si="197"/>
        <v>0</v>
      </c>
      <c r="AI236" s="261">
        <f t="shared" si="197"/>
        <v>0</v>
      </c>
      <c r="AJ236" s="261">
        <f>AJ149+AJ177+AJ184+AJ211+AJ224</f>
        <v>50634087.559999995</v>
      </c>
      <c r="AK236" s="261">
        <f t="shared" ref="AK236:BD236" si="198">AK149+AK177+AK184+AK211+AK224</f>
        <v>50634087.559999995</v>
      </c>
      <c r="AL236" s="261">
        <f t="shared" si="198"/>
        <v>0</v>
      </c>
      <c r="AM236" s="261">
        <f t="shared" si="198"/>
        <v>0</v>
      </c>
      <c r="AN236" s="261">
        <f t="shared" si="198"/>
        <v>57013022.100000001</v>
      </c>
      <c r="AO236" s="261">
        <f t="shared" si="198"/>
        <v>0</v>
      </c>
      <c r="AP236" s="261">
        <f t="shared" si="198"/>
        <v>0</v>
      </c>
      <c r="AQ236" s="261">
        <f t="shared" si="198"/>
        <v>0</v>
      </c>
      <c r="AR236" s="261">
        <f t="shared" si="198"/>
        <v>159507986.09999999</v>
      </c>
      <c r="AS236" s="261">
        <f t="shared" si="198"/>
        <v>0</v>
      </c>
      <c r="AT236" s="261">
        <f t="shared" si="198"/>
        <v>0</v>
      </c>
      <c r="AU236" s="261">
        <f t="shared" si="198"/>
        <v>0</v>
      </c>
      <c r="AV236" s="261">
        <f t="shared" si="198"/>
        <v>159697706.09999999</v>
      </c>
      <c r="AW236" s="261">
        <f t="shared" si="198"/>
        <v>0</v>
      </c>
      <c r="AX236" s="261">
        <f t="shared" si="198"/>
        <v>0</v>
      </c>
      <c r="AY236" s="261">
        <f t="shared" si="198"/>
        <v>0</v>
      </c>
      <c r="AZ236" s="261">
        <f t="shared" si="198"/>
        <v>51451229.25</v>
      </c>
      <c r="BA236" s="261">
        <f t="shared" si="198"/>
        <v>0</v>
      </c>
      <c r="BB236" s="261">
        <f t="shared" si="198"/>
        <v>0</v>
      </c>
      <c r="BC236" s="261">
        <f t="shared" si="198"/>
        <v>0</v>
      </c>
      <c r="BD236" s="261">
        <f t="shared" si="198"/>
        <v>95545757.849999994</v>
      </c>
      <c r="BE236" s="261">
        <f>BE149+BE177+BE211</f>
        <v>0</v>
      </c>
      <c r="BF236" s="261">
        <f>BF149+BF177+BF211</f>
        <v>0</v>
      </c>
      <c r="BG236" s="261">
        <f>BG149+BG177+BG211</f>
        <v>0</v>
      </c>
      <c r="BH236" s="261">
        <f>BH149+BH177+BH211</f>
        <v>0</v>
      </c>
      <c r="BI236" s="267"/>
    </row>
    <row r="237" spans="1:69" x14ac:dyDescent="0.2">
      <c r="C237" s="486"/>
      <c r="D237" s="132"/>
      <c r="E237" s="132"/>
      <c r="F237" s="572"/>
      <c r="G237" s="132"/>
      <c r="H237" s="260"/>
      <c r="I237" s="132"/>
      <c r="J237" s="132"/>
      <c r="K237" s="109"/>
      <c r="L237" s="132"/>
      <c r="M237" s="132"/>
      <c r="N237" s="132"/>
      <c r="O237" s="132"/>
      <c r="P237" s="132"/>
      <c r="Q237" s="132"/>
      <c r="R237" s="132"/>
      <c r="S237" s="132"/>
      <c r="T237" s="132"/>
      <c r="U237" s="132"/>
      <c r="V237" s="132"/>
      <c r="W237" s="132"/>
      <c r="X237" s="132"/>
      <c r="Y237" s="132"/>
      <c r="Z237" s="132"/>
      <c r="AA237" s="132"/>
      <c r="AB237" s="132"/>
      <c r="AC237" s="132"/>
      <c r="AD237" s="132"/>
      <c r="AE237" s="132"/>
      <c r="AF237" s="132"/>
      <c r="AG237" s="132"/>
      <c r="AH237" s="132"/>
      <c r="AI237" s="132"/>
      <c r="AJ237" s="132"/>
      <c r="AK237" s="132"/>
      <c r="AL237" s="132"/>
      <c r="AM237" s="132"/>
      <c r="AN237" s="132"/>
      <c r="AO237" s="132"/>
      <c r="AP237" s="132"/>
      <c r="AQ237" s="132"/>
      <c r="AR237" s="132"/>
      <c r="AS237" s="132"/>
      <c r="AT237" s="132"/>
      <c r="AU237" s="132"/>
      <c r="AV237" s="132"/>
      <c r="AW237" s="132"/>
      <c r="AX237" s="132"/>
      <c r="AY237" s="132"/>
      <c r="AZ237" s="132"/>
      <c r="BA237" s="261"/>
      <c r="BB237" s="132"/>
      <c r="BC237" s="132"/>
      <c r="BD237" s="132"/>
      <c r="BE237" s="132"/>
      <c r="BF237" s="132"/>
      <c r="BG237" s="132"/>
      <c r="BH237" s="132"/>
    </row>
    <row r="238" spans="1:69" x14ac:dyDescent="0.2">
      <c r="C238" s="1120" t="s">
        <v>265</v>
      </c>
      <c r="D238" s="486" t="s">
        <v>259</v>
      </c>
      <c r="E238" s="132"/>
      <c r="F238" s="572"/>
      <c r="G238" s="132"/>
      <c r="H238" s="260"/>
      <c r="I238" s="132"/>
      <c r="J238" s="132"/>
      <c r="K238" s="132"/>
      <c r="L238" s="405">
        <f>L187</f>
        <v>0</v>
      </c>
      <c r="M238" s="405">
        <f>M187</f>
        <v>0</v>
      </c>
      <c r="N238" s="405">
        <f>N187</f>
        <v>0</v>
      </c>
      <c r="O238" s="405">
        <f>O187</f>
        <v>0</v>
      </c>
      <c r="P238" s="405">
        <f>P187-P200</f>
        <v>0</v>
      </c>
      <c r="Q238" s="405">
        <f>Q187-Q200</f>
        <v>0</v>
      </c>
      <c r="R238" s="405">
        <f>R187-R200</f>
        <v>0</v>
      </c>
      <c r="S238" s="405">
        <f>S187-S200</f>
        <v>0</v>
      </c>
      <c r="T238" s="405">
        <f>T187+T188-T200</f>
        <v>177105934.96000001</v>
      </c>
      <c r="U238" s="405">
        <f t="shared" ref="U238:BD238" si="199">U187+U188-U200</f>
        <v>177105934.96000001</v>
      </c>
      <c r="V238" s="405">
        <f t="shared" si="199"/>
        <v>173522867.46000001</v>
      </c>
      <c r="W238" s="405">
        <f t="shared" si="199"/>
        <v>0</v>
      </c>
      <c r="X238" s="405">
        <f t="shared" si="199"/>
        <v>166824953.03999999</v>
      </c>
      <c r="Y238" s="405">
        <f t="shared" si="199"/>
        <v>166824953.03999999</v>
      </c>
      <c r="Z238" s="405">
        <f t="shared" si="199"/>
        <v>166824953.03999999</v>
      </c>
      <c r="AA238" s="405">
        <f t="shared" si="199"/>
        <v>0</v>
      </c>
      <c r="AB238" s="405">
        <f t="shared" si="199"/>
        <v>110166487.5</v>
      </c>
      <c r="AC238" s="405">
        <f t="shared" si="199"/>
        <v>110166487.5</v>
      </c>
      <c r="AD238" s="405">
        <f t="shared" si="199"/>
        <v>110166487.5</v>
      </c>
      <c r="AE238" s="405">
        <f t="shared" si="199"/>
        <v>0</v>
      </c>
      <c r="AF238" s="405">
        <f t="shared" si="199"/>
        <v>38566793</v>
      </c>
      <c r="AG238" s="405">
        <f t="shared" si="199"/>
        <v>38566793</v>
      </c>
      <c r="AH238" s="405">
        <f t="shared" si="199"/>
        <v>38566793</v>
      </c>
      <c r="AI238" s="405">
        <f t="shared" si="199"/>
        <v>0</v>
      </c>
      <c r="AJ238" s="405">
        <f t="shared" si="199"/>
        <v>15365741.5</v>
      </c>
      <c r="AK238" s="405">
        <f t="shared" si="199"/>
        <v>15365741.5</v>
      </c>
      <c r="AL238" s="405">
        <f t="shared" si="199"/>
        <v>16765.04</v>
      </c>
      <c r="AM238" s="405">
        <f t="shared" si="199"/>
        <v>-15348976.459999999</v>
      </c>
      <c r="AN238" s="405">
        <f t="shared" si="199"/>
        <v>0</v>
      </c>
      <c r="AO238" s="405">
        <f t="shared" si="199"/>
        <v>0</v>
      </c>
      <c r="AP238" s="405">
        <f t="shared" si="199"/>
        <v>0</v>
      </c>
      <c r="AQ238" s="405">
        <f t="shared" si="199"/>
        <v>0</v>
      </c>
      <c r="AR238" s="405">
        <f t="shared" si="199"/>
        <v>0</v>
      </c>
      <c r="AS238" s="405">
        <f t="shared" si="199"/>
        <v>0</v>
      </c>
      <c r="AT238" s="405">
        <f t="shared" si="199"/>
        <v>0</v>
      </c>
      <c r="AU238" s="405">
        <f t="shared" si="199"/>
        <v>0</v>
      </c>
      <c r="AV238" s="405">
        <f t="shared" si="199"/>
        <v>0</v>
      </c>
      <c r="AW238" s="405">
        <f t="shared" si="199"/>
        <v>0</v>
      </c>
      <c r="AX238" s="405">
        <f t="shared" si="199"/>
        <v>0</v>
      </c>
      <c r="AY238" s="405">
        <f t="shared" si="199"/>
        <v>0</v>
      </c>
      <c r="AZ238" s="405">
        <f t="shared" si="199"/>
        <v>0</v>
      </c>
      <c r="BA238" s="405">
        <f t="shared" si="199"/>
        <v>0</v>
      </c>
      <c r="BB238" s="405">
        <f t="shared" si="199"/>
        <v>0</v>
      </c>
      <c r="BC238" s="405">
        <f t="shared" si="199"/>
        <v>0</v>
      </c>
      <c r="BD238" s="405">
        <f t="shared" si="199"/>
        <v>0</v>
      </c>
      <c r="BE238" s="164">
        <f>BE187-BE200</f>
        <v>0</v>
      </c>
      <c r="BF238" s="164">
        <f>BF187-BF200</f>
        <v>0</v>
      </c>
      <c r="BG238" s="164">
        <f>BG187-BG200</f>
        <v>0</v>
      </c>
      <c r="BH238" s="164">
        <f>BH187-BH200</f>
        <v>0</v>
      </c>
      <c r="BI238" s="267"/>
    </row>
    <row r="239" spans="1:69" x14ac:dyDescent="0.2">
      <c r="C239" s="1120"/>
      <c r="D239" s="486" t="s">
        <v>260</v>
      </c>
      <c r="E239" s="132"/>
      <c r="F239" s="572"/>
      <c r="G239" s="132"/>
      <c r="H239" s="260"/>
      <c r="I239" s="132"/>
      <c r="J239" s="132"/>
      <c r="K239" s="486"/>
      <c r="L239" s="405">
        <f>L189</f>
        <v>0</v>
      </c>
      <c r="M239" s="405">
        <f>M189</f>
        <v>0</v>
      </c>
      <c r="N239" s="405">
        <f>N189</f>
        <v>0</v>
      </c>
      <c r="O239" s="405">
        <f>O189</f>
        <v>0</v>
      </c>
      <c r="P239" s="405">
        <f>P189-P201</f>
        <v>0</v>
      </c>
      <c r="Q239" s="405">
        <f>Q189-Q201</f>
        <v>0</v>
      </c>
      <c r="R239" s="405">
        <f>R189-R201</f>
        <v>0</v>
      </c>
      <c r="S239" s="405">
        <f>S189-S201</f>
        <v>0</v>
      </c>
      <c r="T239" s="405">
        <f>T189-T201+T190</f>
        <v>6449133.9800000004</v>
      </c>
      <c r="U239" s="405">
        <f t="shared" ref="U239:BD239" si="200">U189-U201+U190</f>
        <v>6449133.9800000004</v>
      </c>
      <c r="V239" s="405">
        <f t="shared" si="200"/>
        <v>6449133.9800000004</v>
      </c>
      <c r="W239" s="405">
        <f t="shared" si="200"/>
        <v>0</v>
      </c>
      <c r="X239" s="405">
        <f t="shared" si="200"/>
        <v>2869566.02</v>
      </c>
      <c r="Y239" s="405">
        <f t="shared" si="200"/>
        <v>2869566.02</v>
      </c>
      <c r="Z239" s="405">
        <f t="shared" si="200"/>
        <v>2869566.02</v>
      </c>
      <c r="AA239" s="405">
        <f t="shared" si="200"/>
        <v>0</v>
      </c>
      <c r="AB239" s="405">
        <f t="shared" si="200"/>
        <v>0</v>
      </c>
      <c r="AC239" s="405">
        <f t="shared" si="200"/>
        <v>0</v>
      </c>
      <c r="AD239" s="405">
        <f t="shared" si="200"/>
        <v>0</v>
      </c>
      <c r="AE239" s="405">
        <f t="shared" si="200"/>
        <v>0</v>
      </c>
      <c r="AF239" s="405">
        <f t="shared" si="200"/>
        <v>0</v>
      </c>
      <c r="AG239" s="405">
        <f t="shared" si="200"/>
        <v>0</v>
      </c>
      <c r="AH239" s="405">
        <f t="shared" si="200"/>
        <v>0</v>
      </c>
      <c r="AI239" s="405">
        <f t="shared" si="200"/>
        <v>0</v>
      </c>
      <c r="AJ239" s="405">
        <f t="shared" si="200"/>
        <v>337100</v>
      </c>
      <c r="AK239" s="405">
        <f t="shared" si="200"/>
        <v>337100</v>
      </c>
      <c r="AL239" s="405">
        <f t="shared" si="200"/>
        <v>318573.61</v>
      </c>
      <c r="AM239" s="405">
        <f t="shared" si="200"/>
        <v>-18526.390000000014</v>
      </c>
      <c r="AN239" s="405">
        <f t="shared" si="200"/>
        <v>0</v>
      </c>
      <c r="AO239" s="405">
        <f t="shared" si="200"/>
        <v>0</v>
      </c>
      <c r="AP239" s="405">
        <f t="shared" si="200"/>
        <v>0</v>
      </c>
      <c r="AQ239" s="405">
        <f t="shared" si="200"/>
        <v>0</v>
      </c>
      <c r="AR239" s="405">
        <f t="shared" si="200"/>
        <v>0</v>
      </c>
      <c r="AS239" s="405">
        <f t="shared" si="200"/>
        <v>0</v>
      </c>
      <c r="AT239" s="405">
        <f t="shared" si="200"/>
        <v>0</v>
      </c>
      <c r="AU239" s="405">
        <f t="shared" si="200"/>
        <v>0</v>
      </c>
      <c r="AV239" s="405">
        <f t="shared" si="200"/>
        <v>0</v>
      </c>
      <c r="AW239" s="405">
        <f t="shared" si="200"/>
        <v>0</v>
      </c>
      <c r="AX239" s="405">
        <f t="shared" si="200"/>
        <v>0</v>
      </c>
      <c r="AY239" s="405">
        <f t="shared" si="200"/>
        <v>0</v>
      </c>
      <c r="AZ239" s="405">
        <f t="shared" si="200"/>
        <v>0</v>
      </c>
      <c r="BA239" s="405">
        <f t="shared" si="200"/>
        <v>0</v>
      </c>
      <c r="BB239" s="405">
        <f t="shared" si="200"/>
        <v>0</v>
      </c>
      <c r="BC239" s="405">
        <f t="shared" si="200"/>
        <v>0</v>
      </c>
      <c r="BD239" s="405">
        <f t="shared" si="200"/>
        <v>0</v>
      </c>
      <c r="BE239" s="405">
        <f>BE189-BE201</f>
        <v>0</v>
      </c>
      <c r="BF239" s="405">
        <f>BF189-BF201</f>
        <v>0</v>
      </c>
      <c r="BG239" s="405">
        <f>BG189-BG201</f>
        <v>0</v>
      </c>
      <c r="BH239" s="405">
        <f>BH189-BH201</f>
        <v>0</v>
      </c>
      <c r="BI239" s="267"/>
    </row>
    <row r="240" spans="1:69" x14ac:dyDescent="0.2">
      <c r="C240" s="486"/>
      <c r="D240" s="132"/>
      <c r="E240" s="132"/>
      <c r="F240" s="572"/>
      <c r="G240" s="132"/>
      <c r="H240" s="260"/>
      <c r="I240" s="132"/>
      <c r="J240" s="132"/>
      <c r="K240" s="109"/>
      <c r="L240" s="132"/>
      <c r="M240" s="132"/>
      <c r="N240" s="132"/>
      <c r="O240" s="132"/>
      <c r="P240" s="132"/>
      <c r="Q240" s="132"/>
      <c r="R240" s="132"/>
      <c r="S240" s="132"/>
      <c r="T240" s="132"/>
      <c r="U240" s="132"/>
      <c r="V240" s="132"/>
      <c r="W240" s="132"/>
      <c r="X240" s="132"/>
      <c r="Y240" s="132"/>
      <c r="Z240" s="132"/>
      <c r="AA240" s="132"/>
      <c r="AB240" s="132"/>
      <c r="AC240" s="132"/>
      <c r="AD240" s="132"/>
      <c r="AE240" s="132"/>
      <c r="AF240" s="132"/>
      <c r="AG240" s="132"/>
      <c r="AH240" s="132"/>
      <c r="AI240" s="132"/>
      <c r="AJ240" s="132"/>
      <c r="AK240" s="132"/>
      <c r="AL240" s="132"/>
      <c r="AM240" s="132"/>
      <c r="AN240" s="132"/>
      <c r="AO240" s="132"/>
      <c r="AP240" s="132"/>
      <c r="AQ240" s="132"/>
      <c r="AR240" s="132"/>
      <c r="AS240" s="132"/>
      <c r="AT240" s="132"/>
      <c r="AU240" s="132"/>
      <c r="AV240" s="132"/>
      <c r="AW240" s="132"/>
      <c r="AX240" s="132"/>
      <c r="AY240" s="132"/>
      <c r="AZ240" s="132"/>
      <c r="BA240" s="132"/>
      <c r="BB240" s="132"/>
      <c r="BC240" s="132"/>
      <c r="BD240" s="132"/>
      <c r="BE240" s="132"/>
      <c r="BF240" s="164"/>
      <c r="BG240" s="164"/>
      <c r="BH240" s="164"/>
      <c r="BI240" s="267"/>
    </row>
    <row r="241" spans="3:69" x14ac:dyDescent="0.2">
      <c r="C241" s="486" t="s">
        <v>266</v>
      </c>
      <c r="D241" s="486" t="s">
        <v>259</v>
      </c>
      <c r="E241" s="132"/>
      <c r="F241" s="572"/>
      <c r="G241" s="132"/>
      <c r="H241" s="260"/>
      <c r="I241" s="132"/>
      <c r="J241" s="132"/>
      <c r="K241" s="132"/>
      <c r="L241" s="405">
        <f t="shared" ref="L241:W241" si="201">L204</f>
        <v>0</v>
      </c>
      <c r="M241" s="405">
        <f t="shared" si="201"/>
        <v>0</v>
      </c>
      <c r="N241" s="405">
        <f t="shared" si="201"/>
        <v>0</v>
      </c>
      <c r="O241" s="405">
        <f t="shared" si="201"/>
        <v>0</v>
      </c>
      <c r="P241" s="405">
        <f t="shared" si="201"/>
        <v>0</v>
      </c>
      <c r="Q241" s="405">
        <f t="shared" si="201"/>
        <v>0</v>
      </c>
      <c r="R241" s="405">
        <f t="shared" si="201"/>
        <v>0</v>
      </c>
      <c r="S241" s="405">
        <f t="shared" si="201"/>
        <v>0</v>
      </c>
      <c r="T241" s="405">
        <f t="shared" si="201"/>
        <v>0</v>
      </c>
      <c r="U241" s="405">
        <f t="shared" si="201"/>
        <v>0</v>
      </c>
      <c r="V241" s="405">
        <f t="shared" si="201"/>
        <v>0</v>
      </c>
      <c r="W241" s="405">
        <f t="shared" si="201"/>
        <v>0</v>
      </c>
      <c r="X241" s="405">
        <f t="shared" ref="X241:AE241" si="202">X204+X205</f>
        <v>26000000</v>
      </c>
      <c r="Y241" s="405">
        <f t="shared" si="202"/>
        <v>26000000</v>
      </c>
      <c r="Z241" s="405">
        <f t="shared" si="202"/>
        <v>0</v>
      </c>
      <c r="AA241" s="405">
        <f t="shared" si="202"/>
        <v>0</v>
      </c>
      <c r="AB241" s="405">
        <f t="shared" si="202"/>
        <v>19109399.5</v>
      </c>
      <c r="AC241" s="405">
        <f t="shared" si="202"/>
        <v>0</v>
      </c>
      <c r="AD241" s="405">
        <f t="shared" si="202"/>
        <v>0</v>
      </c>
      <c r="AE241" s="405">
        <f t="shared" si="202"/>
        <v>0</v>
      </c>
      <c r="AF241" s="405">
        <f>AF204+AF205</f>
        <v>0</v>
      </c>
      <c r="AG241" s="405">
        <f t="shared" ref="AG241:BD241" si="203">AG204+AG205</f>
        <v>0</v>
      </c>
      <c r="AH241" s="405">
        <f t="shared" si="203"/>
        <v>0</v>
      </c>
      <c r="AI241" s="405">
        <f t="shared" si="203"/>
        <v>0</v>
      </c>
      <c r="AJ241" s="405">
        <f t="shared" si="203"/>
        <v>0</v>
      </c>
      <c r="AK241" s="405">
        <f t="shared" si="203"/>
        <v>0</v>
      </c>
      <c r="AL241" s="405">
        <f t="shared" si="203"/>
        <v>0</v>
      </c>
      <c r="AM241" s="405">
        <f t="shared" si="203"/>
        <v>0</v>
      </c>
      <c r="AN241" s="405">
        <f t="shared" si="203"/>
        <v>0</v>
      </c>
      <c r="AO241" s="405">
        <f t="shared" si="203"/>
        <v>0</v>
      </c>
      <c r="AP241" s="405">
        <f t="shared" si="203"/>
        <v>0</v>
      </c>
      <c r="AQ241" s="405">
        <f t="shared" si="203"/>
        <v>0</v>
      </c>
      <c r="AR241" s="405">
        <f t="shared" si="203"/>
        <v>20228636</v>
      </c>
      <c r="AS241" s="405">
        <f t="shared" si="203"/>
        <v>0</v>
      </c>
      <c r="AT241" s="405">
        <f t="shared" si="203"/>
        <v>0</v>
      </c>
      <c r="AU241" s="405">
        <f t="shared" si="203"/>
        <v>0</v>
      </c>
      <c r="AV241" s="405">
        <f t="shared" si="203"/>
        <v>28371364</v>
      </c>
      <c r="AW241" s="405">
        <f t="shared" si="203"/>
        <v>0</v>
      </c>
      <c r="AX241" s="405">
        <f t="shared" si="203"/>
        <v>0</v>
      </c>
      <c r="AY241" s="405">
        <f t="shared" si="203"/>
        <v>0</v>
      </c>
      <c r="AZ241" s="405">
        <f t="shared" si="203"/>
        <v>0</v>
      </c>
      <c r="BA241" s="405">
        <f t="shared" si="203"/>
        <v>0</v>
      </c>
      <c r="BB241" s="405">
        <f t="shared" si="203"/>
        <v>0</v>
      </c>
      <c r="BC241" s="405">
        <f t="shared" si="203"/>
        <v>0</v>
      </c>
      <c r="BD241" s="405">
        <f t="shared" si="203"/>
        <v>0</v>
      </c>
      <c r="BE241" s="405">
        <f>BE204</f>
        <v>0</v>
      </c>
      <c r="BF241" s="132"/>
      <c r="BG241" s="132"/>
      <c r="BH241" s="132"/>
    </row>
    <row r="242" spans="3:69" s="110" customFormat="1" x14ac:dyDescent="0.2">
      <c r="C242" s="1126" t="s">
        <v>267</v>
      </c>
      <c r="D242" s="487" t="s">
        <v>259</v>
      </c>
      <c r="E242" s="109"/>
      <c r="F242" s="109"/>
      <c r="G242" s="109"/>
      <c r="H242" s="268"/>
      <c r="I242" s="109"/>
      <c r="J242" s="109"/>
      <c r="K242" s="511"/>
      <c r="L242" s="218">
        <f>L228+L232+L234+L236+L238+L241</f>
        <v>33084630</v>
      </c>
      <c r="M242" s="218">
        <f>M228+M232+M234+M236+M238+M241</f>
        <v>33084630</v>
      </c>
      <c r="N242" s="218">
        <f>N228+N232+N234+N236+N238+N241</f>
        <v>33084630</v>
      </c>
      <c r="O242" s="218">
        <f>O228+O232+O234+O236+O238+O241</f>
        <v>0</v>
      </c>
      <c r="P242" s="218">
        <f>P228+P232+P234+P236+P238+P241</f>
        <v>57081303.149999999</v>
      </c>
      <c r="Q242" s="218">
        <f t="shared" ref="Q242:BD242" si="204">Q228+Q232+Q234+Q236+Q238+Q241</f>
        <v>57081303.149999999</v>
      </c>
      <c r="R242" s="218">
        <f t="shared" si="204"/>
        <v>57081303.149999999</v>
      </c>
      <c r="S242" s="218">
        <f t="shared" si="204"/>
        <v>0</v>
      </c>
      <c r="T242" s="218">
        <f t="shared" si="204"/>
        <v>329413076.22000003</v>
      </c>
      <c r="U242" s="218">
        <f t="shared" si="204"/>
        <v>329413076.22000003</v>
      </c>
      <c r="V242" s="218">
        <f t="shared" si="204"/>
        <v>292007900.59000003</v>
      </c>
      <c r="W242" s="218">
        <f t="shared" si="204"/>
        <v>0</v>
      </c>
      <c r="X242" s="218">
        <f t="shared" si="204"/>
        <v>1506784146.0600002</v>
      </c>
      <c r="Y242" s="218">
        <f t="shared" si="204"/>
        <v>1506784146.0600002</v>
      </c>
      <c r="Z242" s="218">
        <f t="shared" si="204"/>
        <v>1445929507.5100002</v>
      </c>
      <c r="AA242" s="218">
        <f t="shared" si="204"/>
        <v>-19953.509999971742</v>
      </c>
      <c r="AB242" s="218">
        <f t="shared" si="204"/>
        <v>448690023.00999999</v>
      </c>
      <c r="AC242" s="218">
        <f t="shared" si="204"/>
        <v>391320007.16999996</v>
      </c>
      <c r="AD242" s="218">
        <f t="shared" si="204"/>
        <v>391949336.82999998</v>
      </c>
      <c r="AE242" s="218">
        <f t="shared" si="204"/>
        <v>629329.66</v>
      </c>
      <c r="AF242" s="218">
        <f t="shared" si="204"/>
        <v>885439389.22000015</v>
      </c>
      <c r="AG242" s="218">
        <f t="shared" si="204"/>
        <v>885439389.22000015</v>
      </c>
      <c r="AH242" s="218">
        <f t="shared" si="204"/>
        <v>836143496.62000012</v>
      </c>
      <c r="AI242" s="218">
        <f t="shared" si="204"/>
        <v>-4311920.9399999939</v>
      </c>
      <c r="AJ242" s="218">
        <f t="shared" si="204"/>
        <v>222941653.59999999</v>
      </c>
      <c r="AK242" s="218">
        <f t="shared" si="204"/>
        <v>218596126.16</v>
      </c>
      <c r="AL242" s="218">
        <f t="shared" si="204"/>
        <v>22934267.559999999</v>
      </c>
      <c r="AM242" s="218">
        <f t="shared" si="204"/>
        <v>-144527771.03999999</v>
      </c>
      <c r="AN242" s="218">
        <f t="shared" si="204"/>
        <v>1180930601.52</v>
      </c>
      <c r="AO242" s="218">
        <f t="shared" si="204"/>
        <v>18164112.390000001</v>
      </c>
      <c r="AP242" s="218">
        <f t="shared" si="204"/>
        <v>0</v>
      </c>
      <c r="AQ242" s="218">
        <f t="shared" si="204"/>
        <v>-37949112.390000001</v>
      </c>
      <c r="AR242" s="218">
        <f t="shared" si="204"/>
        <v>426696953.12</v>
      </c>
      <c r="AS242" s="218">
        <f t="shared" si="204"/>
        <v>0</v>
      </c>
      <c r="AT242" s="218">
        <f t="shared" si="204"/>
        <v>0</v>
      </c>
      <c r="AU242" s="218">
        <f t="shared" si="204"/>
        <v>609376.14999999839</v>
      </c>
      <c r="AV242" s="218">
        <f t="shared" si="204"/>
        <v>686121439.13</v>
      </c>
      <c r="AW242" s="218">
        <f t="shared" si="204"/>
        <v>0</v>
      </c>
      <c r="AX242" s="218">
        <f t="shared" si="204"/>
        <v>0</v>
      </c>
      <c r="AY242" s="218">
        <f t="shared" si="204"/>
        <v>0</v>
      </c>
      <c r="AZ242" s="218">
        <f t="shared" si="204"/>
        <v>175520102.19</v>
      </c>
      <c r="BA242" s="218">
        <f t="shared" si="204"/>
        <v>0</v>
      </c>
      <c r="BB242" s="218">
        <f t="shared" si="204"/>
        <v>0</v>
      </c>
      <c r="BC242" s="218">
        <f t="shared" si="204"/>
        <v>0</v>
      </c>
      <c r="BD242" s="218">
        <f t="shared" si="204"/>
        <v>515101299.3401804</v>
      </c>
      <c r="BE242" s="218" t="e">
        <f>BE228+#REF!+BE234+BE232+BE236+BE238+BE241</f>
        <v>#REF!</v>
      </c>
      <c r="BF242" s="218" t="e">
        <f>BF228+#REF!+BF234+BF232+BF236+BF238+BF241</f>
        <v>#REF!</v>
      </c>
      <c r="BG242" s="218" t="e">
        <f>BG228+#REF!+BG234+BG232+BG236+BG238+BG241</f>
        <v>#REF!</v>
      </c>
      <c r="BH242" s="218" t="e">
        <f>BH228+#REF!+BH234+BH232+BH236+BH238+BH241</f>
        <v>#REF!</v>
      </c>
      <c r="BI242" s="269"/>
      <c r="BJ242" s="136"/>
      <c r="BK242" s="136"/>
      <c r="BL242" s="136"/>
      <c r="BM242" s="155"/>
    </row>
    <row r="243" spans="3:69" s="110" customFormat="1" x14ac:dyDescent="0.2">
      <c r="C243" s="1126"/>
      <c r="D243" s="487" t="s">
        <v>260</v>
      </c>
      <c r="E243" s="109"/>
      <c r="F243" s="109"/>
      <c r="G243" s="109"/>
      <c r="H243" s="268"/>
      <c r="I243" s="109"/>
      <c r="J243" s="109"/>
      <c r="K243" s="511"/>
      <c r="L243" s="218">
        <f>L229+L239</f>
        <v>0</v>
      </c>
      <c r="M243" s="218">
        <f>M229+M239</f>
        <v>0</v>
      </c>
      <c r="N243" s="218">
        <f>N229+N239</f>
        <v>0</v>
      </c>
      <c r="O243" s="218">
        <f>O229+O239</f>
        <v>0</v>
      </c>
      <c r="P243" s="218">
        <f>P229+P239</f>
        <v>0</v>
      </c>
      <c r="Q243" s="218">
        <f t="shared" ref="Q243:BD243" si="205">Q229+Q239</f>
        <v>0</v>
      </c>
      <c r="R243" s="218">
        <f t="shared" si="205"/>
        <v>0</v>
      </c>
      <c r="S243" s="218">
        <f t="shared" si="205"/>
        <v>0</v>
      </c>
      <c r="T243" s="218">
        <f t="shared" si="205"/>
        <v>145423192.28999999</v>
      </c>
      <c r="U243" s="218">
        <f t="shared" si="205"/>
        <v>145423192.28999999</v>
      </c>
      <c r="V243" s="218">
        <f t="shared" si="205"/>
        <v>145423192.28999999</v>
      </c>
      <c r="W243" s="218">
        <f t="shared" si="205"/>
        <v>0</v>
      </c>
      <c r="X243" s="218">
        <f t="shared" si="205"/>
        <v>536517654.55999994</v>
      </c>
      <c r="Y243" s="218">
        <f t="shared" si="205"/>
        <v>536517654.55999994</v>
      </c>
      <c r="Z243" s="218">
        <f t="shared" si="205"/>
        <v>536468802.84999996</v>
      </c>
      <c r="AA243" s="218">
        <f t="shared" si="205"/>
        <v>-48851.710000000894</v>
      </c>
      <c r="AB243" s="218">
        <f t="shared" si="205"/>
        <v>119916700.13999999</v>
      </c>
      <c r="AC243" s="218">
        <f t="shared" si="205"/>
        <v>119916700.13999999</v>
      </c>
      <c r="AD243" s="218">
        <f t="shared" si="205"/>
        <v>119916700.13999999</v>
      </c>
      <c r="AE243" s="218">
        <f t="shared" si="205"/>
        <v>0</v>
      </c>
      <c r="AF243" s="218">
        <f t="shared" si="205"/>
        <v>133052528.49000001</v>
      </c>
      <c r="AG243" s="218">
        <f t="shared" si="205"/>
        <v>133052528.49000001</v>
      </c>
      <c r="AH243" s="218">
        <f t="shared" si="205"/>
        <v>122334271.39999999</v>
      </c>
      <c r="AI243" s="218">
        <f t="shared" si="205"/>
        <v>-10718257.090000002</v>
      </c>
      <c r="AJ243" s="218">
        <f t="shared" si="205"/>
        <v>66666187.639999993</v>
      </c>
      <c r="AK243" s="218">
        <f t="shared" si="205"/>
        <v>56027137.700000003</v>
      </c>
      <c r="AL243" s="218">
        <f t="shared" si="205"/>
        <v>23340753.27</v>
      </c>
      <c r="AM243" s="218">
        <f t="shared" si="205"/>
        <v>-32686384.430000007</v>
      </c>
      <c r="AN243" s="218">
        <f t="shared" si="205"/>
        <v>14259981.320000002</v>
      </c>
      <c r="AO243" s="218">
        <f t="shared" si="205"/>
        <v>51461.71</v>
      </c>
      <c r="AP243" s="218">
        <f t="shared" si="205"/>
        <v>0</v>
      </c>
      <c r="AQ243" s="218">
        <f t="shared" si="205"/>
        <v>-51461.71</v>
      </c>
      <c r="AR243" s="218">
        <f t="shared" si="205"/>
        <v>16062890.26</v>
      </c>
      <c r="AS243" s="218">
        <f t="shared" si="205"/>
        <v>0</v>
      </c>
      <c r="AT243" s="218">
        <f t="shared" si="205"/>
        <v>0</v>
      </c>
      <c r="AU243" s="218">
        <f t="shared" si="205"/>
        <v>-48851.710000000894</v>
      </c>
      <c r="AV243" s="218">
        <f t="shared" si="205"/>
        <v>16022127.130000001</v>
      </c>
      <c r="AW243" s="218">
        <f t="shared" si="205"/>
        <v>0</v>
      </c>
      <c r="AX243" s="218">
        <f t="shared" si="205"/>
        <v>0</v>
      </c>
      <c r="AY243" s="218">
        <f t="shared" si="205"/>
        <v>0</v>
      </c>
      <c r="AZ243" s="218">
        <f t="shared" si="205"/>
        <v>38601800</v>
      </c>
      <c r="BA243" s="218">
        <f t="shared" si="205"/>
        <v>0</v>
      </c>
      <c r="BB243" s="218">
        <f t="shared" si="205"/>
        <v>0</v>
      </c>
      <c r="BC243" s="218">
        <f t="shared" si="205"/>
        <v>0</v>
      </c>
      <c r="BD243" s="218">
        <f t="shared" si="205"/>
        <v>35090488.109999999</v>
      </c>
      <c r="BE243" s="218">
        <f>BE229+BE239</f>
        <v>0</v>
      </c>
      <c r="BF243" s="218">
        <f>BF229+BF239</f>
        <v>0</v>
      </c>
      <c r="BG243" s="218">
        <f>BG229+BG239</f>
        <v>0</v>
      </c>
      <c r="BH243" s="218">
        <f>BH229+BH239</f>
        <v>0</v>
      </c>
      <c r="BI243" s="269"/>
      <c r="BJ243" s="136"/>
      <c r="BK243" s="136"/>
      <c r="BL243" s="136"/>
      <c r="BM243" s="155"/>
    </row>
    <row r="244" spans="3:69" x14ac:dyDescent="0.2">
      <c r="C244" s="1105" t="s">
        <v>268</v>
      </c>
      <c r="D244" s="484" t="s">
        <v>259</v>
      </c>
      <c r="E244" s="132"/>
      <c r="F244" s="572"/>
      <c r="G244" s="132"/>
      <c r="H244" s="260"/>
      <c r="I244" s="132"/>
      <c r="J244" s="132"/>
      <c r="K244" s="270"/>
      <c r="L244" s="271">
        <f t="shared" ref="L244:BD244" si="206">L242-L14-L15</f>
        <v>0</v>
      </c>
      <c r="M244" s="271">
        <f t="shared" si="206"/>
        <v>0</v>
      </c>
      <c r="N244" s="271">
        <f t="shared" si="206"/>
        <v>0</v>
      </c>
      <c r="O244" s="271">
        <f t="shared" si="206"/>
        <v>0</v>
      </c>
      <c r="P244" s="271">
        <f t="shared" si="206"/>
        <v>0</v>
      </c>
      <c r="Q244" s="271">
        <f t="shared" si="206"/>
        <v>0</v>
      </c>
      <c r="R244" s="271">
        <f t="shared" si="206"/>
        <v>0</v>
      </c>
      <c r="S244" s="271">
        <f t="shared" si="206"/>
        <v>0</v>
      </c>
      <c r="T244" s="271">
        <f t="shared" si="206"/>
        <v>0</v>
      </c>
      <c r="U244" s="271">
        <f t="shared" si="206"/>
        <v>0</v>
      </c>
      <c r="V244" s="271">
        <f t="shared" si="206"/>
        <v>0</v>
      </c>
      <c r="W244" s="271">
        <f t="shared" si="206"/>
        <v>0</v>
      </c>
      <c r="X244" s="271">
        <f t="shared" si="206"/>
        <v>0</v>
      </c>
      <c r="Y244" s="271">
        <f t="shared" si="206"/>
        <v>0</v>
      </c>
      <c r="Z244" s="271">
        <f t="shared" si="206"/>
        <v>0</v>
      </c>
      <c r="AA244" s="271">
        <f t="shared" si="206"/>
        <v>0</v>
      </c>
      <c r="AB244" s="271">
        <f t="shared" si="206"/>
        <v>0</v>
      </c>
      <c r="AC244" s="271">
        <f t="shared" si="206"/>
        <v>0</v>
      </c>
      <c r="AD244" s="271">
        <f t="shared" si="206"/>
        <v>0</v>
      </c>
      <c r="AE244" s="271">
        <f t="shared" si="206"/>
        <v>0</v>
      </c>
      <c r="AF244" s="271">
        <f t="shared" si="206"/>
        <v>0</v>
      </c>
      <c r="AG244" s="271">
        <f t="shared" si="206"/>
        <v>0</v>
      </c>
      <c r="AH244" s="271">
        <f t="shared" si="206"/>
        <v>0</v>
      </c>
      <c r="AI244" s="271">
        <f t="shared" si="206"/>
        <v>0</v>
      </c>
      <c r="AJ244" s="271">
        <f t="shared" si="206"/>
        <v>-15238460</v>
      </c>
      <c r="AK244" s="271">
        <f t="shared" si="206"/>
        <v>-15238460</v>
      </c>
      <c r="AL244" s="271">
        <f t="shared" si="206"/>
        <v>0</v>
      </c>
      <c r="AM244" s="271">
        <f t="shared" si="206"/>
        <v>15238460</v>
      </c>
      <c r="AN244" s="271">
        <f t="shared" si="206"/>
        <v>1.4901161193847656E-7</v>
      </c>
      <c r="AO244" s="271">
        <f t="shared" si="206"/>
        <v>0</v>
      </c>
      <c r="AP244" s="271">
        <f t="shared" si="206"/>
        <v>0</v>
      </c>
      <c r="AQ244" s="271">
        <f t="shared" si="206"/>
        <v>0</v>
      </c>
      <c r="AR244" s="271">
        <f t="shared" si="206"/>
        <v>0</v>
      </c>
      <c r="AS244" s="271">
        <f t="shared" si="206"/>
        <v>0</v>
      </c>
      <c r="AT244" s="271">
        <f t="shared" si="206"/>
        <v>0</v>
      </c>
      <c r="AU244" s="271">
        <f t="shared" si="206"/>
        <v>0</v>
      </c>
      <c r="AV244" s="271">
        <f t="shared" si="206"/>
        <v>0</v>
      </c>
      <c r="AW244" s="271">
        <f t="shared" si="206"/>
        <v>0</v>
      </c>
      <c r="AX244" s="271">
        <f t="shared" si="206"/>
        <v>0</v>
      </c>
      <c r="AY244" s="271">
        <f t="shared" si="206"/>
        <v>0</v>
      </c>
      <c r="AZ244" s="271">
        <f t="shared" si="206"/>
        <v>0</v>
      </c>
      <c r="BA244" s="271">
        <f t="shared" si="206"/>
        <v>0</v>
      </c>
      <c r="BB244" s="271">
        <f t="shared" si="206"/>
        <v>0</v>
      </c>
      <c r="BC244" s="271">
        <f t="shared" si="206"/>
        <v>0</v>
      </c>
      <c r="BD244" s="271">
        <f t="shared" si="206"/>
        <v>0</v>
      </c>
      <c r="BE244" s="271"/>
      <c r="BF244" s="271" t="e">
        <f>BF14-BF242</f>
        <v>#REF!</v>
      </c>
      <c r="BG244" s="271" t="e">
        <f>BG14-BG242</f>
        <v>#REF!</v>
      </c>
      <c r="BH244" s="271" t="e">
        <f>BH14-BH242</f>
        <v>#REF!</v>
      </c>
      <c r="BI244" s="153"/>
    </row>
    <row r="245" spans="3:69" x14ac:dyDescent="0.2">
      <c r="C245" s="1105"/>
      <c r="D245" s="484" t="s">
        <v>260</v>
      </c>
      <c r="E245" s="132"/>
      <c r="F245" s="572"/>
      <c r="G245" s="132"/>
      <c r="H245" s="132"/>
      <c r="I245" s="132"/>
      <c r="J245" s="132"/>
      <c r="K245" s="270"/>
      <c r="L245" s="271">
        <f t="shared" ref="L245:BD245" si="207">L243-L16-L17</f>
        <v>0</v>
      </c>
      <c r="M245" s="271">
        <f t="shared" si="207"/>
        <v>0</v>
      </c>
      <c r="N245" s="271">
        <f t="shared" si="207"/>
        <v>0</v>
      </c>
      <c r="O245" s="271">
        <f t="shared" si="207"/>
        <v>0</v>
      </c>
      <c r="P245" s="271">
        <f t="shared" si="207"/>
        <v>0</v>
      </c>
      <c r="Q245" s="271">
        <f t="shared" si="207"/>
        <v>0</v>
      </c>
      <c r="R245" s="271">
        <f t="shared" si="207"/>
        <v>0</v>
      </c>
      <c r="S245" s="271">
        <f t="shared" si="207"/>
        <v>0</v>
      </c>
      <c r="T245" s="271">
        <f t="shared" si="207"/>
        <v>-1.1175870895385742E-8</v>
      </c>
      <c r="U245" s="271">
        <f t="shared" si="207"/>
        <v>-1.1175870895385742E-8</v>
      </c>
      <c r="V245" s="271">
        <f t="shared" si="207"/>
        <v>-1.1175870895385742E-8</v>
      </c>
      <c r="W245" s="271">
        <f t="shared" si="207"/>
        <v>0</v>
      </c>
      <c r="X245" s="271">
        <f t="shared" si="207"/>
        <v>-1.909211277961731E-8</v>
      </c>
      <c r="Y245" s="271">
        <f t="shared" si="207"/>
        <v>-1.909211277961731E-8</v>
      </c>
      <c r="Z245" s="271">
        <f t="shared" si="207"/>
        <v>-1.909211277961731E-8</v>
      </c>
      <c r="AA245" s="271">
        <f t="shared" si="207"/>
        <v>0</v>
      </c>
      <c r="AB245" s="271">
        <f t="shared" si="207"/>
        <v>0</v>
      </c>
      <c r="AC245" s="271">
        <f t="shared" si="207"/>
        <v>0</v>
      </c>
      <c r="AD245" s="271">
        <f t="shared" si="207"/>
        <v>0</v>
      </c>
      <c r="AE245" s="271">
        <f t="shared" si="207"/>
        <v>0</v>
      </c>
      <c r="AF245" s="271">
        <f t="shared" si="207"/>
        <v>0</v>
      </c>
      <c r="AG245" s="271">
        <f t="shared" si="207"/>
        <v>0</v>
      </c>
      <c r="AH245" s="271">
        <f t="shared" si="207"/>
        <v>0</v>
      </c>
      <c r="AI245" s="271">
        <f t="shared" si="207"/>
        <v>0</v>
      </c>
      <c r="AJ245" s="271">
        <f t="shared" si="207"/>
        <v>0</v>
      </c>
      <c r="AK245" s="271">
        <f t="shared" si="207"/>
        <v>0</v>
      </c>
      <c r="AL245" s="271">
        <f t="shared" si="207"/>
        <v>0</v>
      </c>
      <c r="AM245" s="271">
        <f t="shared" si="207"/>
        <v>0</v>
      </c>
      <c r="AN245" s="271">
        <f t="shared" si="207"/>
        <v>0</v>
      </c>
      <c r="AO245" s="271">
        <f t="shared" si="207"/>
        <v>0</v>
      </c>
      <c r="AP245" s="271">
        <f t="shared" si="207"/>
        <v>0</v>
      </c>
      <c r="AQ245" s="271">
        <f t="shared" si="207"/>
        <v>0</v>
      </c>
      <c r="AR245" s="271">
        <f t="shared" si="207"/>
        <v>0</v>
      </c>
      <c r="AS245" s="271">
        <f t="shared" si="207"/>
        <v>0</v>
      </c>
      <c r="AT245" s="271">
        <f t="shared" si="207"/>
        <v>0</v>
      </c>
      <c r="AU245" s="271">
        <f t="shared" si="207"/>
        <v>0</v>
      </c>
      <c r="AV245" s="271">
        <f t="shared" si="207"/>
        <v>0</v>
      </c>
      <c r="AW245" s="271">
        <f t="shared" si="207"/>
        <v>0</v>
      </c>
      <c r="AX245" s="271">
        <f t="shared" si="207"/>
        <v>0</v>
      </c>
      <c r="AY245" s="271">
        <f t="shared" si="207"/>
        <v>0</v>
      </c>
      <c r="AZ245" s="271">
        <f t="shared" si="207"/>
        <v>0</v>
      </c>
      <c r="BA245" s="271">
        <f t="shared" si="207"/>
        <v>0</v>
      </c>
      <c r="BB245" s="271">
        <f t="shared" si="207"/>
        <v>0</v>
      </c>
      <c r="BC245" s="271">
        <f t="shared" si="207"/>
        <v>0</v>
      </c>
      <c r="BD245" s="271">
        <f t="shared" si="207"/>
        <v>0</v>
      </c>
      <c r="BE245" s="271"/>
      <c r="BF245" s="271">
        <f>BF16-BF243</f>
        <v>0</v>
      </c>
      <c r="BG245" s="271">
        <f>BG16-BG243</f>
        <v>0</v>
      </c>
      <c r="BH245" s="271">
        <f>BH16-BH243</f>
        <v>0</v>
      </c>
      <c r="BI245" s="153"/>
    </row>
    <row r="246" spans="3:69" x14ac:dyDescent="0.2">
      <c r="C246" s="132"/>
      <c r="D246" s="132"/>
      <c r="E246" s="132"/>
      <c r="F246" s="572"/>
      <c r="G246" s="132"/>
      <c r="H246" s="132"/>
      <c r="I246" s="132"/>
      <c r="J246" s="132"/>
      <c r="K246" s="109"/>
      <c r="L246" s="132"/>
      <c r="M246" s="132"/>
      <c r="N246" s="132"/>
      <c r="O246" s="132"/>
      <c r="P246" s="132"/>
      <c r="Q246" s="163"/>
      <c r="R246" s="132"/>
      <c r="S246" s="132"/>
      <c r="T246" s="132"/>
      <c r="U246" s="132"/>
      <c r="V246" s="132"/>
      <c r="W246" s="132"/>
      <c r="X246" s="132"/>
      <c r="Y246" s="132"/>
      <c r="Z246" s="132"/>
      <c r="AA246" s="132"/>
      <c r="AB246" s="261"/>
      <c r="AC246" s="261"/>
      <c r="AD246" s="261"/>
      <c r="AE246" s="261"/>
      <c r="AF246" s="261"/>
      <c r="AG246" s="261"/>
      <c r="AH246" s="261"/>
      <c r="AI246" s="261"/>
      <c r="AJ246" s="261"/>
      <c r="AK246" s="261"/>
      <c r="AL246" s="261"/>
      <c r="AM246" s="261"/>
      <c r="AN246" s="261"/>
      <c r="AO246" s="261"/>
      <c r="AP246" s="261"/>
      <c r="AQ246" s="261"/>
      <c r="AR246" s="261"/>
      <c r="AS246" s="261"/>
      <c r="AT246" s="261"/>
      <c r="AU246" s="261"/>
      <c r="AV246" s="261"/>
      <c r="AW246" s="261"/>
      <c r="AX246" s="261"/>
      <c r="AY246" s="261"/>
      <c r="AZ246" s="261"/>
      <c r="BA246" s="261"/>
      <c r="BB246" s="261"/>
      <c r="BC246" s="261"/>
      <c r="BD246" s="261"/>
      <c r="BE246" s="261"/>
      <c r="BF246" s="132"/>
      <c r="BG246" s="132"/>
      <c r="BH246" s="132"/>
      <c r="BI246" s="153"/>
    </row>
    <row r="247" spans="3:69" s="280" customFormat="1" ht="18.75" x14ac:dyDescent="0.2">
      <c r="C247" s="272" t="s">
        <v>269</v>
      </c>
      <c r="D247" s="273"/>
      <c r="E247" s="273"/>
      <c r="F247" s="273"/>
      <c r="G247" s="273"/>
      <c r="H247" s="273"/>
      <c r="I247" s="273"/>
      <c r="J247" s="273"/>
      <c r="K247" s="273"/>
      <c r="L247" s="273"/>
      <c r="M247" s="273"/>
      <c r="N247" s="273"/>
      <c r="O247" s="273"/>
      <c r="P247" s="275">
        <v>43624400</v>
      </c>
      <c r="Q247" s="274"/>
      <c r="R247" s="273"/>
      <c r="S247" s="273"/>
      <c r="T247" s="273"/>
      <c r="U247" s="273"/>
      <c r="V247" s="273"/>
      <c r="W247" s="273"/>
      <c r="X247" s="273">
        <v>1659344.2</v>
      </c>
      <c r="Y247" s="275"/>
      <c r="Z247" s="273"/>
      <c r="AA247" s="273"/>
      <c r="AB247" s="275">
        <v>588546000</v>
      </c>
      <c r="AC247" s="276"/>
      <c r="AD247" s="273"/>
      <c r="AE247" s="273"/>
      <c r="AF247" s="276"/>
      <c r="AG247" s="275"/>
      <c r="AH247" s="273"/>
      <c r="AI247" s="275"/>
      <c r="AJ247" s="275"/>
      <c r="AK247" s="275">
        <v>218596100</v>
      </c>
      <c r="AL247" s="275"/>
      <c r="AM247" s="275"/>
      <c r="AN247" s="275"/>
      <c r="AO247" s="275"/>
      <c r="AP247" s="275"/>
      <c r="AQ247" s="275"/>
      <c r="AR247" s="275"/>
      <c r="AS247" s="273"/>
      <c r="AT247" s="275"/>
      <c r="AU247" s="275"/>
      <c r="AV247" s="275"/>
      <c r="AW247" s="275"/>
      <c r="AX247" s="275"/>
      <c r="AY247" s="275"/>
      <c r="AZ247" s="275"/>
      <c r="BA247" s="275"/>
      <c r="BB247" s="275"/>
      <c r="BC247" s="275"/>
      <c r="BD247" s="275"/>
      <c r="BE247" s="275"/>
      <c r="BF247" s="273"/>
      <c r="BG247" s="273"/>
      <c r="BH247" s="273"/>
      <c r="BI247" s="277"/>
      <c r="BJ247" s="278"/>
      <c r="BK247" s="278"/>
      <c r="BL247" s="278"/>
      <c r="BM247" s="279"/>
      <c r="BQ247" s="110"/>
    </row>
    <row r="248" spans="3:69" x14ac:dyDescent="0.2">
      <c r="C248" s="132"/>
      <c r="D248" s="132"/>
      <c r="E248" s="132"/>
      <c r="F248" s="572"/>
      <c r="G248" s="132"/>
      <c r="H248" s="132"/>
      <c r="I248" s="132"/>
      <c r="J248" s="132"/>
      <c r="K248" s="109"/>
      <c r="L248" s="166"/>
      <c r="M248" s="132"/>
      <c r="N248" s="132"/>
      <c r="O248" s="132"/>
      <c r="P248" s="132"/>
      <c r="Q248" s="163"/>
      <c r="R248" s="132"/>
      <c r="S248" s="132"/>
      <c r="T248" s="132"/>
      <c r="U248" s="132"/>
      <c r="V248" s="132"/>
      <c r="W248" s="132"/>
      <c r="X248" s="132"/>
      <c r="Y248" s="132"/>
      <c r="Z248" s="132"/>
      <c r="AA248" s="132"/>
      <c r="AB248" s="132"/>
      <c r="AC248" s="132"/>
      <c r="AD248" s="132"/>
      <c r="AE248" s="132"/>
      <c r="AF248" s="132"/>
      <c r="AG248" s="132"/>
      <c r="AH248" s="132"/>
      <c r="AI248" s="132"/>
      <c r="AJ248" s="132"/>
      <c r="AK248" s="132"/>
      <c r="AL248" s="132"/>
      <c r="AM248" s="132"/>
      <c r="AN248" s="132"/>
      <c r="AO248" s="132"/>
      <c r="AP248" s="132"/>
      <c r="AQ248" s="132"/>
      <c r="AR248" s="132"/>
      <c r="AS248" s="132"/>
      <c r="AT248" s="132"/>
      <c r="AU248" s="132"/>
      <c r="AV248" s="132"/>
      <c r="AW248" s="132"/>
      <c r="AX248" s="132"/>
      <c r="AY248" s="132"/>
      <c r="AZ248" s="132"/>
      <c r="BA248" s="132"/>
      <c r="BB248" s="132"/>
      <c r="BC248" s="132"/>
      <c r="BD248" s="132"/>
      <c r="BE248" s="132"/>
      <c r="BF248" s="132"/>
      <c r="BG248" s="132"/>
      <c r="BH248" s="165"/>
      <c r="BI248" s="153"/>
    </row>
    <row r="249" spans="3:69" x14ac:dyDescent="0.2">
      <c r="C249" s="132" t="s">
        <v>270</v>
      </c>
      <c r="D249" s="132"/>
      <c r="E249" s="132"/>
      <c r="F249" s="572"/>
      <c r="G249" s="132"/>
      <c r="H249" s="132"/>
      <c r="I249" s="132"/>
      <c r="J249" s="132"/>
      <c r="K249" s="109"/>
      <c r="L249" s="166"/>
      <c r="M249" s="132"/>
      <c r="N249" s="132"/>
      <c r="O249" s="132"/>
      <c r="P249" s="132"/>
      <c r="Q249" s="163"/>
      <c r="R249" s="132"/>
      <c r="S249" s="132"/>
      <c r="T249" s="132"/>
      <c r="U249" s="132"/>
      <c r="V249" s="132"/>
      <c r="W249" s="132"/>
      <c r="X249" s="132"/>
      <c r="Y249" s="132"/>
      <c r="Z249" s="281"/>
      <c r="AA249" s="132"/>
      <c r="AB249" s="132"/>
      <c r="AC249" s="164">
        <f>AC247-AC242</f>
        <v>-391320007.16999996</v>
      </c>
      <c r="AD249" s="132"/>
      <c r="AE249" s="132"/>
      <c r="AF249" s="164"/>
      <c r="AG249" s="132"/>
      <c r="AH249" s="132"/>
      <c r="AI249" s="132"/>
      <c r="AJ249" s="132"/>
      <c r="AK249" s="164">
        <f>AK247-AK242</f>
        <v>-26.159999996423721</v>
      </c>
      <c r="AL249" s="132"/>
      <c r="AM249" s="132"/>
      <c r="AN249" s="164"/>
      <c r="AO249" s="164"/>
      <c r="AP249" s="132"/>
      <c r="AQ249" s="132"/>
      <c r="AR249" s="164"/>
      <c r="AS249" s="132"/>
      <c r="AT249" s="132"/>
      <c r="AU249" s="132"/>
      <c r="AV249" s="132"/>
      <c r="AW249" s="164">
        <f>AW242-AW247</f>
        <v>0</v>
      </c>
      <c r="AX249" s="132"/>
      <c r="AY249" s="132"/>
      <c r="AZ249" s="164"/>
      <c r="BA249" s="132"/>
      <c r="BB249" s="132"/>
      <c r="BC249" s="132"/>
      <c r="BD249" s="132"/>
      <c r="BE249" s="132"/>
      <c r="BF249" s="132"/>
      <c r="BG249" s="132"/>
      <c r="BH249" s="165"/>
      <c r="BI249" s="153"/>
    </row>
    <row r="250" spans="3:69" x14ac:dyDescent="0.2">
      <c r="AG250" s="237">
        <f>AF242-AG242</f>
        <v>0</v>
      </c>
    </row>
  </sheetData>
  <autoFilter ref="A14:BR185">
    <filterColumn colId="0" showButton="0"/>
    <filterColumn colId="1" showButton="0"/>
    <filterColumn colId="2" showButton="0"/>
    <filterColumn colId="3" showButton="0"/>
  </autoFilter>
  <mergeCells count="139">
    <mergeCell ref="BN200:BN201"/>
    <mergeCell ref="BO160:BO163"/>
    <mergeCell ref="BN29:BN31"/>
    <mergeCell ref="BO93:BO100"/>
    <mergeCell ref="BO79:BO82"/>
    <mergeCell ref="BN113:BN114"/>
    <mergeCell ref="BN126:BN127"/>
    <mergeCell ref="BN65:BN68"/>
    <mergeCell ref="BN117:BN118"/>
    <mergeCell ref="BN179:BN181"/>
    <mergeCell ref="BN49:BN50"/>
    <mergeCell ref="BN95:BN100"/>
    <mergeCell ref="BN83:BN86"/>
    <mergeCell ref="BN160:BN163"/>
    <mergeCell ref="BN128:BN129"/>
    <mergeCell ref="BN154:BN156"/>
    <mergeCell ref="BN69:BN72"/>
    <mergeCell ref="BN59:BN62"/>
    <mergeCell ref="BN75:BN78"/>
    <mergeCell ref="BN196:BN199"/>
    <mergeCell ref="BN157:BN158"/>
    <mergeCell ref="BN134:BN135"/>
    <mergeCell ref="BN119:BN120"/>
    <mergeCell ref="BN115:BN116"/>
    <mergeCell ref="A157:A158"/>
    <mergeCell ref="A93:A100"/>
    <mergeCell ref="A168:C168"/>
    <mergeCell ref="A182:A183"/>
    <mergeCell ref="A179:A181"/>
    <mergeCell ref="A176:C176"/>
    <mergeCell ref="A169:A172"/>
    <mergeCell ref="A167:C167"/>
    <mergeCell ref="A126:A127"/>
    <mergeCell ref="A164:A166"/>
    <mergeCell ref="A101:C101"/>
    <mergeCell ref="A102:C102"/>
    <mergeCell ref="A103:C103"/>
    <mergeCell ref="A106:A107"/>
    <mergeCell ref="A154:A156"/>
    <mergeCell ref="A147:A148"/>
    <mergeCell ref="A142:C142"/>
    <mergeCell ref="A124:A125"/>
    <mergeCell ref="A128:A129"/>
    <mergeCell ref="A143:C143"/>
    <mergeCell ref="A122:C122"/>
    <mergeCell ref="A140:A141"/>
    <mergeCell ref="A160:A163"/>
    <mergeCell ref="A173:A174"/>
    <mergeCell ref="BN5:BN7"/>
    <mergeCell ref="BN144:BN146"/>
    <mergeCell ref="BN147:BN148"/>
    <mergeCell ref="BN24:BN25"/>
    <mergeCell ref="A144:A146"/>
    <mergeCell ref="BN151:BN153"/>
    <mergeCell ref="D5:D7"/>
    <mergeCell ref="E5:E7"/>
    <mergeCell ref="A17:E17"/>
    <mergeCell ref="A15:E15"/>
    <mergeCell ref="A19:E19"/>
    <mergeCell ref="A18:E18"/>
    <mergeCell ref="A20:A22"/>
    <mergeCell ref="A36:A37"/>
    <mergeCell ref="A5:A7"/>
    <mergeCell ref="A29:A31"/>
    <mergeCell ref="A136:A139"/>
    <mergeCell ref="A131:A132"/>
    <mergeCell ref="A151:A153"/>
    <mergeCell ref="A75:A78"/>
    <mergeCell ref="A59:A62"/>
    <mergeCell ref="A134:A135"/>
    <mergeCell ref="A121:C121"/>
    <mergeCell ref="A89:A92"/>
    <mergeCell ref="C244:C245"/>
    <mergeCell ref="A189:C189"/>
    <mergeCell ref="A202:A203"/>
    <mergeCell ref="A204:C204"/>
    <mergeCell ref="A211:C211"/>
    <mergeCell ref="C228:C230"/>
    <mergeCell ref="C238:C239"/>
    <mergeCell ref="A196:A199"/>
    <mergeCell ref="A200:A201"/>
    <mergeCell ref="C242:C243"/>
    <mergeCell ref="A206:A207"/>
    <mergeCell ref="A205:C205"/>
    <mergeCell ref="A175:C175"/>
    <mergeCell ref="A221:A222"/>
    <mergeCell ref="C221:C222"/>
    <mergeCell ref="BL5:BL7"/>
    <mergeCell ref="BK5:BK7"/>
    <mergeCell ref="AZ6:BC6"/>
    <mergeCell ref="BD6:BH6"/>
    <mergeCell ref="H5:H7"/>
    <mergeCell ref="I5:I7"/>
    <mergeCell ref="J5:J7"/>
    <mergeCell ref="K5:K7"/>
    <mergeCell ref="G5:G7"/>
    <mergeCell ref="L6:O6"/>
    <mergeCell ref="P6:S6"/>
    <mergeCell ref="T6:W6"/>
    <mergeCell ref="BJ5:BJ7"/>
    <mergeCell ref="AN6:AQ6"/>
    <mergeCell ref="AR6:AU6"/>
    <mergeCell ref="AV6:AY6"/>
    <mergeCell ref="AJ6:AM6"/>
    <mergeCell ref="X6:AA6"/>
    <mergeCell ref="AB6:AE6"/>
    <mergeCell ref="AF6:AI6"/>
    <mergeCell ref="B5:B7"/>
    <mergeCell ref="BN36:BN37"/>
    <mergeCell ref="A27:A28"/>
    <mergeCell ref="A79:A82"/>
    <mergeCell ref="A117:A118"/>
    <mergeCell ref="A65:A68"/>
    <mergeCell ref="A69:A72"/>
    <mergeCell ref="A87:A88"/>
    <mergeCell ref="BN27:BN28"/>
    <mergeCell ref="A42:A43"/>
    <mergeCell ref="BN42:BN43"/>
    <mergeCell ref="BN55:BN58"/>
    <mergeCell ref="A46:A47"/>
    <mergeCell ref="A55:A58"/>
    <mergeCell ref="A73:A74"/>
    <mergeCell ref="A32:A34"/>
    <mergeCell ref="A39:A41"/>
    <mergeCell ref="BN39:BN41"/>
    <mergeCell ref="A63:A64"/>
    <mergeCell ref="A83:A86"/>
    <mergeCell ref="C5:C7"/>
    <mergeCell ref="A53:A54"/>
    <mergeCell ref="A49:A50"/>
    <mergeCell ref="F5:F7"/>
    <mergeCell ref="A12:E12"/>
    <mergeCell ref="A119:A120"/>
    <mergeCell ref="A113:A114"/>
    <mergeCell ref="A115:A116"/>
    <mergeCell ref="A44:A45"/>
    <mergeCell ref="A14:E14"/>
    <mergeCell ref="A16:E16"/>
    <mergeCell ref="A24:A26"/>
  </mergeCells>
  <pageMargins left="0.19685039370078741" right="0.19685039370078741" top="0.27559055118110237" bottom="0.39370078740157483" header="0.39370078740157483" footer="0.31496062992125984"/>
  <pageSetup paperSize="9" scale="60" orientation="landscape" r:id="rId1"/>
  <headerFooter alignWithMargins="0">
    <oddHeader>&amp;R&amp;P</oddHeader>
  </headerFooter>
  <rowBreaks count="1" manualBreakCount="1">
    <brk id="118" max="5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65"/>
  <sheetViews>
    <sheetView view="pageBreakPreview" zoomScale="70" zoomScaleNormal="60" zoomScaleSheetLayoutView="70" workbookViewId="0">
      <pane xSplit="6" ySplit="6" topLeftCell="N34" activePane="bottomRight" state="frozen"/>
      <selection activeCell="O130" sqref="O130"/>
      <selection pane="topRight" activeCell="O130" sqref="O130"/>
      <selection pane="bottomLeft" activeCell="O130" sqref="O130"/>
      <selection pane="bottomRight" activeCell="S38" sqref="S38"/>
    </sheetView>
  </sheetViews>
  <sheetFormatPr defaultColWidth="9.140625" defaultRowHeight="15.75" x14ac:dyDescent="0.25"/>
  <cols>
    <col min="1" max="1" width="45" style="285" customWidth="1"/>
    <col min="2" max="2" width="16.140625" style="295" customWidth="1"/>
    <col min="3" max="3" width="17.7109375" style="295" customWidth="1"/>
    <col min="4" max="4" width="19.5703125" style="295" customWidth="1"/>
    <col min="5" max="5" width="18.140625" style="295" customWidth="1"/>
    <col min="6" max="6" width="18.7109375" style="285" customWidth="1"/>
    <col min="7" max="7" width="17.5703125" style="285" customWidth="1"/>
    <col min="8" max="8" width="17.85546875" style="285" hidden="1" customWidth="1"/>
    <col min="9" max="9" width="18.28515625" style="286" hidden="1" customWidth="1"/>
    <col min="10" max="10" width="16.5703125" style="286" customWidth="1"/>
    <col min="11" max="11" width="16.85546875" style="285" customWidth="1"/>
    <col min="12" max="12" width="18.7109375" style="286" customWidth="1"/>
    <col min="13" max="13" width="17.5703125" style="285" customWidth="1"/>
    <col min="14" max="14" width="18.140625" style="286" customWidth="1"/>
    <col min="15" max="15" width="17.5703125" style="285" customWidth="1"/>
    <col min="16" max="16" width="18.28515625" style="286" customWidth="1"/>
    <col min="17" max="17" width="17.7109375" style="285" customWidth="1"/>
    <col min="18" max="18" width="17.7109375" style="286" customWidth="1"/>
    <col min="19" max="19" width="19.140625" style="285" customWidth="1"/>
    <col min="20" max="20" width="17.140625" style="286" customWidth="1"/>
    <col min="21" max="21" width="18.85546875" style="285" hidden="1" customWidth="1"/>
    <col min="22" max="22" width="17.7109375" style="286" customWidth="1"/>
    <col min="23" max="23" width="18.85546875" style="297" hidden="1" customWidth="1"/>
    <col min="24" max="24" width="16.7109375" style="297" customWidth="1"/>
    <col min="25" max="25" width="18.140625" style="297" hidden="1" customWidth="1"/>
    <col min="26" max="26" width="17" style="286" customWidth="1"/>
    <col min="27" max="27" width="18.5703125" style="297" hidden="1" customWidth="1"/>
    <col min="28" max="28" width="16.7109375" style="286" customWidth="1"/>
    <col min="29" max="29" width="14.140625" style="285" hidden="1" customWidth="1"/>
    <col min="30" max="30" width="20.28515625" style="286" customWidth="1"/>
    <col min="31" max="31" width="17" style="286" customWidth="1"/>
    <col min="32" max="32" width="17.42578125" style="289" customWidth="1"/>
    <col min="33" max="33" width="18.7109375" style="286" hidden="1" customWidth="1"/>
    <col min="34" max="34" width="26.28515625" style="285" customWidth="1"/>
    <col min="35" max="16384" width="9.140625" style="285"/>
  </cols>
  <sheetData>
    <row r="1" spans="1:34" ht="20.25" x14ac:dyDescent="0.3">
      <c r="A1" s="1183" t="s">
        <v>503</v>
      </c>
      <c r="B1" s="1183"/>
      <c r="C1" s="1183"/>
      <c r="D1" s="1183"/>
      <c r="E1" s="1183"/>
      <c r="F1" s="1183"/>
      <c r="G1" s="1183"/>
      <c r="H1" s="1183"/>
      <c r="I1" s="1183"/>
      <c r="J1" s="1183"/>
      <c r="K1" s="1183"/>
      <c r="L1" s="282"/>
      <c r="M1" s="282"/>
      <c r="N1" s="282"/>
      <c r="O1" s="282"/>
      <c r="P1" s="282"/>
      <c r="Q1" s="282"/>
      <c r="R1" s="282"/>
      <c r="S1" s="282"/>
      <c r="T1" s="282"/>
      <c r="U1" s="282"/>
      <c r="V1" s="282"/>
      <c r="W1" s="282"/>
      <c r="X1" s="282"/>
      <c r="Y1" s="283"/>
      <c r="Z1" s="284"/>
      <c r="AA1" s="283"/>
      <c r="AB1" s="284"/>
    </row>
    <row r="2" spans="1:34" s="293" customFormat="1" ht="10.5" customHeight="1" x14ac:dyDescent="0.3">
      <c r="A2" s="282"/>
      <c r="B2" s="287"/>
      <c r="C2" s="287"/>
      <c r="D2" s="282"/>
      <c r="E2" s="282"/>
      <c r="F2" s="282"/>
      <c r="G2" s="285"/>
      <c r="H2" s="338"/>
      <c r="I2" s="286"/>
      <c r="J2" s="286"/>
      <c r="K2" s="288"/>
      <c r="L2" s="289"/>
      <c r="M2" s="288"/>
      <c r="N2" s="290"/>
      <c r="O2" s="288"/>
      <c r="P2" s="289"/>
      <c r="Q2" s="288"/>
      <c r="R2" s="290"/>
      <c r="S2" s="288"/>
      <c r="T2" s="290"/>
      <c r="U2" s="288"/>
      <c r="V2" s="290"/>
      <c r="W2" s="288"/>
      <c r="X2" s="288"/>
      <c r="Y2" s="291"/>
      <c r="Z2" s="292"/>
      <c r="AA2" s="283"/>
      <c r="AB2" s="284"/>
      <c r="AD2" s="294"/>
      <c r="AE2" s="294"/>
      <c r="AF2" s="467"/>
      <c r="AG2" s="294"/>
    </row>
    <row r="3" spans="1:34" ht="16.5" thickBot="1" x14ac:dyDescent="0.3">
      <c r="K3" s="296"/>
    </row>
    <row r="4" spans="1:34" ht="15.75" customHeight="1" x14ac:dyDescent="0.25">
      <c r="A4" s="1184"/>
      <c r="B4" s="1186" t="s">
        <v>183</v>
      </c>
      <c r="C4" s="1188" t="s">
        <v>271</v>
      </c>
      <c r="D4" s="1188" t="s">
        <v>272</v>
      </c>
      <c r="E4" s="1188" t="s">
        <v>190</v>
      </c>
      <c r="F4" s="1188" t="s">
        <v>273</v>
      </c>
      <c r="G4" s="1188" t="s">
        <v>274</v>
      </c>
      <c r="H4" s="370"/>
      <c r="I4" s="370"/>
      <c r="J4" s="298"/>
      <c r="K4" s="298"/>
      <c r="L4" s="1190"/>
      <c r="M4" s="1190"/>
      <c r="N4" s="1190"/>
      <c r="O4" s="1190"/>
      <c r="P4" s="1190"/>
      <c r="Q4" s="1190"/>
      <c r="R4" s="1190"/>
      <c r="S4" s="1190"/>
      <c r="T4" s="1190"/>
      <c r="U4" s="1190"/>
      <c r="V4" s="1190"/>
      <c r="W4" s="1190"/>
      <c r="X4" s="1191"/>
      <c r="Y4" s="1191"/>
      <c r="Z4" s="1191"/>
      <c r="AA4" s="1191"/>
      <c r="AB4" s="1191"/>
      <c r="AC4" s="1191"/>
      <c r="AD4" s="1192"/>
    </row>
    <row r="5" spans="1:34" x14ac:dyDescent="0.25">
      <c r="A5" s="1185"/>
      <c r="B5" s="1187"/>
      <c r="C5" s="1189"/>
      <c r="D5" s="1189"/>
      <c r="E5" s="1189"/>
      <c r="F5" s="1189"/>
      <c r="G5" s="1189"/>
      <c r="H5" s="1193" t="s">
        <v>195</v>
      </c>
      <c r="I5" s="1193"/>
      <c r="J5" s="1193" t="s">
        <v>196</v>
      </c>
      <c r="K5" s="1193"/>
      <c r="L5" s="1194" t="s">
        <v>197</v>
      </c>
      <c r="M5" s="1194"/>
      <c r="N5" s="1195" t="s">
        <v>275</v>
      </c>
      <c r="O5" s="1196"/>
      <c r="P5" s="1197" t="s">
        <v>199</v>
      </c>
      <c r="Q5" s="1198"/>
      <c r="R5" s="1194" t="s">
        <v>200</v>
      </c>
      <c r="S5" s="1194"/>
      <c r="T5" s="1194" t="s">
        <v>201</v>
      </c>
      <c r="U5" s="1194"/>
      <c r="V5" s="1199" t="s">
        <v>202</v>
      </c>
      <c r="W5" s="1199"/>
      <c r="X5" s="1200" t="s">
        <v>203</v>
      </c>
      <c r="Y5" s="1201"/>
      <c r="Z5" s="1200" t="s">
        <v>204</v>
      </c>
      <c r="AA5" s="1201"/>
      <c r="AB5" s="1197" t="s">
        <v>205</v>
      </c>
      <c r="AC5" s="1198"/>
      <c r="AD5" s="1192"/>
      <c r="AE5" s="140"/>
      <c r="AF5" s="465"/>
    </row>
    <row r="6" spans="1:34" x14ac:dyDescent="0.25">
      <c r="A6" s="1185"/>
      <c r="B6" s="1187"/>
      <c r="C6" s="1189"/>
      <c r="D6" s="1189"/>
      <c r="E6" s="1189"/>
      <c r="F6" s="1189"/>
      <c r="G6" s="1189"/>
      <c r="H6" s="344" t="s">
        <v>271</v>
      </c>
      <c r="I6" s="344" t="s">
        <v>208</v>
      </c>
      <c r="J6" s="299" t="s">
        <v>276</v>
      </c>
      <c r="K6" s="299" t="s">
        <v>208</v>
      </c>
      <c r="L6" s="300" t="s">
        <v>271</v>
      </c>
      <c r="M6" s="301" t="s">
        <v>208</v>
      </c>
      <c r="N6" s="300" t="s">
        <v>271</v>
      </c>
      <c r="O6" s="302" t="s">
        <v>208</v>
      </c>
      <c r="P6" s="300" t="s">
        <v>271</v>
      </c>
      <c r="Q6" s="302" t="s">
        <v>208</v>
      </c>
      <c r="R6" s="300" t="s">
        <v>271</v>
      </c>
      <c r="S6" s="301" t="s">
        <v>208</v>
      </c>
      <c r="T6" s="300" t="s">
        <v>271</v>
      </c>
      <c r="U6" s="301" t="s">
        <v>208</v>
      </c>
      <c r="V6" s="300" t="s">
        <v>271</v>
      </c>
      <c r="W6" s="303" t="s">
        <v>208</v>
      </c>
      <c r="X6" s="300" t="s">
        <v>271</v>
      </c>
      <c r="Y6" s="304" t="s">
        <v>208</v>
      </c>
      <c r="Z6" s="300" t="s">
        <v>271</v>
      </c>
      <c r="AA6" s="304" t="s">
        <v>208</v>
      </c>
      <c r="AB6" s="300" t="s">
        <v>271</v>
      </c>
      <c r="AC6" s="305" t="s">
        <v>208</v>
      </c>
      <c r="AD6" s="102"/>
    </row>
    <row r="7" spans="1:34" ht="63" x14ac:dyDescent="0.25">
      <c r="A7" s="306" t="s">
        <v>277</v>
      </c>
      <c r="B7" s="307"/>
      <c r="C7" s="308">
        <f>SUM(C8:C13)</f>
        <v>510129500</v>
      </c>
      <c r="D7" s="308">
        <f>SUM(D8:D13)</f>
        <v>510129500</v>
      </c>
      <c r="E7" s="308">
        <f>SUM(E8:E13)</f>
        <v>0</v>
      </c>
      <c r="F7" s="334">
        <f>SUM(F8:F13)</f>
        <v>456525508.18000001</v>
      </c>
      <c r="G7" s="374">
        <f>SUM(G8:G13)</f>
        <v>0</v>
      </c>
      <c r="H7" s="311">
        <f t="shared" ref="H7:AB7" si="0">SUM(H8:H13)</f>
        <v>0</v>
      </c>
      <c r="I7" s="311">
        <f t="shared" si="0"/>
        <v>0</v>
      </c>
      <c r="J7" s="311">
        <f t="shared" si="0"/>
        <v>0</v>
      </c>
      <c r="K7" s="311">
        <f t="shared" si="0"/>
        <v>141190349.19</v>
      </c>
      <c r="L7" s="311">
        <f t="shared" si="0"/>
        <v>190758520</v>
      </c>
      <c r="M7" s="311">
        <f t="shared" si="0"/>
        <v>204617669.09000003</v>
      </c>
      <c r="N7" s="311">
        <f t="shared" si="0"/>
        <v>49145700</v>
      </c>
      <c r="O7" s="311">
        <f t="shared" si="0"/>
        <v>240290.38</v>
      </c>
      <c r="P7" s="311">
        <f t="shared" si="0"/>
        <v>121409600</v>
      </c>
      <c r="Q7" s="311">
        <f t="shared" si="0"/>
        <v>0</v>
      </c>
      <c r="R7" s="311">
        <f t="shared" si="0"/>
        <v>0</v>
      </c>
      <c r="S7" s="311">
        <f t="shared" si="0"/>
        <v>110477199.52</v>
      </c>
      <c r="T7" s="311">
        <f t="shared" si="0"/>
        <v>138811810</v>
      </c>
      <c r="U7" s="311">
        <f t="shared" si="0"/>
        <v>0</v>
      </c>
      <c r="V7" s="311">
        <f t="shared" si="0"/>
        <v>10003870</v>
      </c>
      <c r="W7" s="311">
        <f t="shared" si="0"/>
        <v>0</v>
      </c>
      <c r="X7" s="311">
        <f t="shared" si="0"/>
        <v>0</v>
      </c>
      <c r="Y7" s="311">
        <f t="shared" si="0"/>
        <v>0</v>
      </c>
      <c r="Z7" s="311">
        <f t="shared" si="0"/>
        <v>0</v>
      </c>
      <c r="AA7" s="311">
        <f t="shared" si="0"/>
        <v>0</v>
      </c>
      <c r="AB7" s="311">
        <f t="shared" si="0"/>
        <v>0</v>
      </c>
      <c r="AC7" s="124"/>
      <c r="AD7" s="319">
        <f t="shared" ref="AD7:AD18" si="1">C7-D7</f>
        <v>0</v>
      </c>
    </row>
    <row r="8" spans="1:34" x14ac:dyDescent="0.25">
      <c r="A8" s="312" t="s">
        <v>278</v>
      </c>
      <c r="B8" s="23" t="s">
        <v>18</v>
      </c>
      <c r="C8" s="135">
        <v>110477200</v>
      </c>
      <c r="D8" s="313">
        <f t="shared" ref="D8:D13" si="2">H8+J8+L8+N8+P8+R8+T8+V8+X8+Z8+AB8</f>
        <v>110477200</v>
      </c>
      <c r="E8" s="313">
        <f>C8-D8</f>
        <v>0</v>
      </c>
      <c r="F8" s="314">
        <f t="shared" ref="F8:F13" si="3">I8+K8+M8+O8+Q8+S8+U8+W8+Y8+AA8+AC8</f>
        <v>110477199.52</v>
      </c>
      <c r="G8" s="315">
        <f t="shared" ref="G8:G13" si="4">C8-D8</f>
        <v>0</v>
      </c>
      <c r="H8" s="119"/>
      <c r="I8" s="119"/>
      <c r="J8" s="119"/>
      <c r="K8" s="316"/>
      <c r="L8" s="119"/>
      <c r="M8" s="316">
        <f>'Бюдж роспись КБ'!Z67</f>
        <v>0</v>
      </c>
      <c r="N8" s="119"/>
      <c r="O8" s="119"/>
      <c r="P8" s="119"/>
      <c r="Q8" s="316"/>
      <c r="R8" s="119"/>
      <c r="S8" s="119">
        <f>'Бюдж роспись КБ'!AH67+'Бюдж роспись КБ'!AH68+'Бюдж роспись КБ'!AL67+'Бюдж роспись КБ'!AL68</f>
        <v>110477199.52</v>
      </c>
      <c r="T8" s="119">
        <v>110477200</v>
      </c>
      <c r="U8" s="316">
        <f>'Бюдж роспись КБ'!AP67+'Бюдж роспись КБ'!AP68</f>
        <v>0</v>
      </c>
      <c r="V8" s="119"/>
      <c r="W8" s="317">
        <f>'Бюдж роспись КБ'!AT67</f>
        <v>0</v>
      </c>
      <c r="X8" s="317"/>
      <c r="Y8" s="317">
        <f>'Бюдж роспись КБ'!AX67</f>
        <v>0</v>
      </c>
      <c r="Z8" s="119"/>
      <c r="AA8" s="317">
        <f>'Бюдж роспись КБ'!BB67</f>
        <v>0</v>
      </c>
      <c r="AB8" s="119"/>
      <c r="AC8" s="318"/>
      <c r="AD8" s="319">
        <f t="shared" si="1"/>
        <v>0</v>
      </c>
      <c r="AE8" s="319"/>
      <c r="AF8" s="371"/>
      <c r="AG8" s="319">
        <f>AE8-AF8</f>
        <v>0</v>
      </c>
      <c r="AH8" s="320"/>
    </row>
    <row r="9" spans="1:34" x14ac:dyDescent="0.25">
      <c r="A9" s="312" t="s">
        <v>279</v>
      </c>
      <c r="B9" s="23" t="s">
        <v>21</v>
      </c>
      <c r="C9" s="313">
        <v>48126590</v>
      </c>
      <c r="D9" s="313">
        <f t="shared" si="2"/>
        <v>48126590</v>
      </c>
      <c r="E9" s="313">
        <f t="shared" ref="E9:E46" si="5">C9-D9</f>
        <v>0</v>
      </c>
      <c r="F9" s="314">
        <f t="shared" si="3"/>
        <v>47858335.220000006</v>
      </c>
      <c r="G9" s="315">
        <f t="shared" si="4"/>
        <v>0</v>
      </c>
      <c r="H9" s="119"/>
      <c r="I9" s="119"/>
      <c r="J9" s="119"/>
      <c r="K9" s="316">
        <f>'Бюдж роспись КБ'!V71+'Бюдж роспись КБ'!V72</f>
        <v>0</v>
      </c>
      <c r="L9" s="119">
        <v>48126590</v>
      </c>
      <c r="M9" s="316">
        <f>'Бюдж роспись КБ'!Z71+'Бюдж роспись КБ'!Z72</f>
        <v>47858335.220000006</v>
      </c>
      <c r="N9" s="119"/>
      <c r="O9" s="316">
        <f>'Бюдж роспись КБ'!AD71+'Бюдж роспись КБ'!AD72</f>
        <v>0</v>
      </c>
      <c r="P9" s="119"/>
      <c r="Q9" s="119">
        <f>'Бюдж роспись КБ'!AH71+'Бюдж роспись КБ'!AH72</f>
        <v>0</v>
      </c>
      <c r="R9" s="119"/>
      <c r="S9" s="119">
        <f>'Бюдж роспись КБ'!AL71</f>
        <v>0</v>
      </c>
      <c r="T9" s="119"/>
      <c r="U9" s="316"/>
      <c r="V9" s="119"/>
      <c r="W9" s="317"/>
      <c r="X9" s="119"/>
      <c r="Y9" s="317"/>
      <c r="Z9" s="119"/>
      <c r="AA9" s="119">
        <f>'Бюдж роспись КБ'!BB71</f>
        <v>0</v>
      </c>
      <c r="AB9" s="119"/>
      <c r="AC9" s="321">
        <f>'Бюдж роспись КБ'!BG71</f>
        <v>0</v>
      </c>
      <c r="AD9" s="319">
        <f t="shared" si="1"/>
        <v>0</v>
      </c>
      <c r="AE9" s="319"/>
      <c r="AF9" s="371"/>
      <c r="AG9" s="319">
        <f>AE9-AF9</f>
        <v>0</v>
      </c>
      <c r="AH9" s="320"/>
    </row>
    <row r="10" spans="1:34" x14ac:dyDescent="0.25">
      <c r="A10" s="312" t="s">
        <v>280</v>
      </c>
      <c r="B10" s="23" t="s">
        <v>23</v>
      </c>
      <c r="C10" s="313">
        <v>121409600</v>
      </c>
      <c r="D10" s="313">
        <f t="shared" si="2"/>
        <v>121409600</v>
      </c>
      <c r="E10" s="313">
        <f t="shared" si="5"/>
        <v>0</v>
      </c>
      <c r="F10" s="314">
        <f t="shared" si="3"/>
        <v>121409541.81999999</v>
      </c>
      <c r="G10" s="315">
        <f t="shared" si="4"/>
        <v>0</v>
      </c>
      <c r="H10" s="119"/>
      <c r="I10" s="119"/>
      <c r="J10" s="119"/>
      <c r="K10" s="316">
        <f>'Бюдж роспись КБ'!V74</f>
        <v>111894138</v>
      </c>
      <c r="L10" s="119"/>
      <c r="M10" s="316">
        <f>'Бюдж роспись КБ'!Z74</f>
        <v>9515403.8200000003</v>
      </c>
      <c r="N10" s="119"/>
      <c r="O10" s="316"/>
      <c r="P10" s="119">
        <v>121409600</v>
      </c>
      <c r="Q10" s="119">
        <f>'Бюдж роспись КБ'!AH74</f>
        <v>0</v>
      </c>
      <c r="R10" s="119"/>
      <c r="S10" s="119">
        <f>'Бюдж роспись КБ'!AL74</f>
        <v>0</v>
      </c>
      <c r="T10" s="119"/>
      <c r="U10" s="316">
        <f>'Бюдж роспись КБ'!AP74</f>
        <v>0</v>
      </c>
      <c r="V10" s="119"/>
      <c r="W10" s="317"/>
      <c r="X10" s="119"/>
      <c r="Y10" s="317">
        <f>'Бюдж роспись КБ'!AX74</f>
        <v>0</v>
      </c>
      <c r="Z10" s="119"/>
      <c r="AA10" s="317"/>
      <c r="AB10" s="119"/>
      <c r="AC10" s="321"/>
      <c r="AD10" s="319">
        <f t="shared" si="1"/>
        <v>0</v>
      </c>
      <c r="AE10" s="319"/>
      <c r="AF10" s="371"/>
      <c r="AG10" s="319"/>
      <c r="AH10" s="320"/>
    </row>
    <row r="11" spans="1:34" x14ac:dyDescent="0.25">
      <c r="A11" s="312" t="s">
        <v>281</v>
      </c>
      <c r="B11" s="23" t="s">
        <v>25</v>
      </c>
      <c r="C11" s="313">
        <v>152635800</v>
      </c>
      <c r="D11" s="313">
        <f t="shared" si="2"/>
        <v>152635800</v>
      </c>
      <c r="E11" s="313">
        <f t="shared" si="5"/>
        <v>0</v>
      </c>
      <c r="F11" s="314">
        <f t="shared" si="3"/>
        <v>147243930.05000001</v>
      </c>
      <c r="G11" s="315">
        <f t="shared" si="4"/>
        <v>0</v>
      </c>
      <c r="H11" s="119"/>
      <c r="I11" s="119"/>
      <c r="J11" s="119"/>
      <c r="K11" s="316">
        <f>'Бюдж роспись КБ'!V77+'Бюдж роспись КБ'!V78</f>
        <v>0</v>
      </c>
      <c r="L11" s="119">
        <v>142631930</v>
      </c>
      <c r="M11" s="316">
        <f>'Бюдж роспись КБ'!Z77+'Бюдж роспись КБ'!Z78</f>
        <v>147243930.05000001</v>
      </c>
      <c r="N11" s="119"/>
      <c r="O11" s="316">
        <f>'Бюдж роспись КБ'!AD77+'Бюдж роспись КБ'!AD78</f>
        <v>0</v>
      </c>
      <c r="P11" s="119"/>
      <c r="Q11" s="119">
        <f>'Бюдж роспись КБ'!AH77+'Бюдж роспись КБ'!AH78</f>
        <v>0</v>
      </c>
      <c r="R11" s="119"/>
      <c r="S11" s="119">
        <f>'Бюдж роспись КБ'!AL77+'Бюдж роспись КБ'!AL78</f>
        <v>0</v>
      </c>
      <c r="T11" s="119"/>
      <c r="U11" s="316">
        <f>'Бюдж роспись КБ'!AP77+'Бюдж роспись КБ'!AP78</f>
        <v>0</v>
      </c>
      <c r="V11" s="119">
        <v>10003870</v>
      </c>
      <c r="W11" s="317">
        <f>'Бюдж роспись КБ'!AT77+'Бюдж роспись КБ'!AT78</f>
        <v>0</v>
      </c>
      <c r="X11" s="119"/>
      <c r="Y11" s="317"/>
      <c r="Z11" s="119"/>
      <c r="AA11" s="317"/>
      <c r="AB11" s="119"/>
      <c r="AC11" s="321"/>
      <c r="AD11" s="319">
        <f t="shared" si="1"/>
        <v>0</v>
      </c>
      <c r="AE11" s="319"/>
      <c r="AF11" s="371"/>
      <c r="AG11" s="319"/>
      <c r="AH11" s="320"/>
    </row>
    <row r="12" spans="1:34" ht="31.5" x14ac:dyDescent="0.25">
      <c r="A12" s="312" t="s">
        <v>344</v>
      </c>
      <c r="B12" s="23" t="s">
        <v>26</v>
      </c>
      <c r="C12" s="313">
        <v>54134410</v>
      </c>
      <c r="D12" s="313">
        <f t="shared" si="2"/>
        <v>54134410</v>
      </c>
      <c r="E12" s="313">
        <f t="shared" si="5"/>
        <v>0</v>
      </c>
      <c r="F12" s="314">
        <f t="shared" si="3"/>
        <v>6190601.5700000003</v>
      </c>
      <c r="G12" s="315">
        <f t="shared" si="4"/>
        <v>0</v>
      </c>
      <c r="H12" s="119"/>
      <c r="I12" s="119"/>
      <c r="J12" s="119"/>
      <c r="K12" s="316">
        <f>'Бюдж роспись КБ'!V88</f>
        <v>5950311.1900000004</v>
      </c>
      <c r="L12" s="119"/>
      <c r="M12" s="316"/>
      <c r="N12" s="119">
        <v>25799800</v>
      </c>
      <c r="O12" s="316">
        <f>'Бюдж роспись КБ'!AD82+'Бюдж роспись КБ'!AD81</f>
        <v>240290.38</v>
      </c>
      <c r="P12" s="119"/>
      <c r="Q12" s="119">
        <f>'Бюдж роспись КБ'!AH81</f>
        <v>0</v>
      </c>
      <c r="R12" s="119"/>
      <c r="S12" s="119">
        <f>'Бюдж роспись КБ'!AL81+'Бюдж роспись КБ'!AL82</f>
        <v>0</v>
      </c>
      <c r="T12" s="119">
        <v>28334610</v>
      </c>
      <c r="U12" s="316">
        <f>'Бюдж роспись КБ'!AP81+'Бюдж роспись КБ'!K82</f>
        <v>0</v>
      </c>
      <c r="V12" s="119"/>
      <c r="W12" s="317">
        <f>'Бюдж роспись КБ'!AT81+'Бюдж роспись КБ'!AT82</f>
        <v>0</v>
      </c>
      <c r="X12" s="119"/>
      <c r="Y12" s="317"/>
      <c r="Z12" s="119"/>
      <c r="AA12" s="119">
        <f>'Бюдж роспись КБ'!BB81+'Бюдж роспись КБ'!BB82</f>
        <v>0</v>
      </c>
      <c r="AB12" s="119"/>
      <c r="AC12" s="321"/>
      <c r="AD12" s="319">
        <f t="shared" si="1"/>
        <v>0</v>
      </c>
      <c r="AE12" s="319"/>
      <c r="AF12" s="371"/>
      <c r="AG12" s="319"/>
      <c r="AH12" s="320"/>
    </row>
    <row r="13" spans="1:34" x14ac:dyDescent="0.25">
      <c r="A13" s="312" t="s">
        <v>282</v>
      </c>
      <c r="B13" s="23" t="s">
        <v>28</v>
      </c>
      <c r="C13" s="120">
        <v>23345900</v>
      </c>
      <c r="D13" s="313">
        <f t="shared" si="2"/>
        <v>23345900</v>
      </c>
      <c r="E13" s="313">
        <f t="shared" si="5"/>
        <v>0</v>
      </c>
      <c r="F13" s="314">
        <f t="shared" si="3"/>
        <v>23345900</v>
      </c>
      <c r="G13" s="315">
        <f t="shared" si="4"/>
        <v>0</v>
      </c>
      <c r="H13" s="119"/>
      <c r="I13" s="119"/>
      <c r="J13" s="119"/>
      <c r="K13" s="316">
        <v>23345900</v>
      </c>
      <c r="L13" s="119"/>
      <c r="M13" s="316"/>
      <c r="N13" s="119">
        <v>23345900</v>
      </c>
      <c r="O13" s="119"/>
      <c r="P13" s="119"/>
      <c r="Q13" s="119"/>
      <c r="R13" s="119"/>
      <c r="S13" s="119"/>
      <c r="T13" s="119"/>
      <c r="U13" s="316"/>
      <c r="V13" s="119"/>
      <c r="W13" s="317"/>
      <c r="X13" s="119"/>
      <c r="Y13" s="317"/>
      <c r="Z13" s="119"/>
      <c r="AA13" s="119"/>
      <c r="AB13" s="119"/>
      <c r="AC13" s="321"/>
      <c r="AD13" s="319">
        <f t="shared" si="1"/>
        <v>0</v>
      </c>
      <c r="AE13" s="319"/>
      <c r="AF13" s="371"/>
      <c r="AG13" s="319"/>
      <c r="AH13" s="320"/>
    </row>
    <row r="14" spans="1:34" x14ac:dyDescent="0.25">
      <c r="B14" s="23"/>
      <c r="C14" s="313"/>
      <c r="D14" s="313"/>
      <c r="E14" s="313"/>
      <c r="F14" s="322"/>
      <c r="G14" s="315"/>
      <c r="H14" s="323"/>
      <c r="I14" s="323"/>
      <c r="J14" s="323"/>
      <c r="K14" s="324"/>
      <c r="L14" s="323"/>
      <c r="M14" s="324"/>
      <c r="N14" s="323"/>
      <c r="O14" s="324"/>
      <c r="P14" s="323"/>
      <c r="Q14" s="323"/>
      <c r="R14" s="323"/>
      <c r="S14" s="323"/>
      <c r="T14" s="323"/>
      <c r="U14" s="324"/>
      <c r="V14" s="323"/>
      <c r="W14" s="325"/>
      <c r="X14" s="323"/>
      <c r="Y14" s="325"/>
      <c r="Z14" s="323"/>
      <c r="AA14" s="323"/>
      <c r="AB14" s="323"/>
      <c r="AC14" s="326"/>
      <c r="AD14" s="319">
        <f t="shared" si="1"/>
        <v>0</v>
      </c>
      <c r="AE14" s="319"/>
      <c r="AF14" s="371"/>
      <c r="AG14" s="319"/>
      <c r="AH14" s="320"/>
    </row>
    <row r="15" spans="1:34" s="293" customFormat="1" ht="63" x14ac:dyDescent="0.25">
      <c r="A15" s="306" t="s">
        <v>29</v>
      </c>
      <c r="B15" s="295"/>
      <c r="C15" s="309">
        <f>SUM(C16:C19)</f>
        <v>260237200</v>
      </c>
      <c r="D15" s="309">
        <f>SUM(D16:D19)</f>
        <v>260237200</v>
      </c>
      <c r="E15" s="313">
        <f t="shared" si="5"/>
        <v>0</v>
      </c>
      <c r="F15" s="334">
        <f>SUM(F16:F18)</f>
        <v>259389965.19</v>
      </c>
      <c r="G15" s="374">
        <f>SUM(G16:G18)</f>
        <v>0</v>
      </c>
      <c r="H15" s="311">
        <f>SUM(H16:H19)</f>
        <v>0</v>
      </c>
      <c r="I15" s="311">
        <f t="shared" ref="I15:AB15" si="6">SUM(I16:I19)</f>
        <v>0</v>
      </c>
      <c r="J15" s="311">
        <f t="shared" si="6"/>
        <v>0</v>
      </c>
      <c r="K15" s="311">
        <f t="shared" si="6"/>
        <v>0</v>
      </c>
      <c r="L15" s="311">
        <f t="shared" si="6"/>
        <v>145790100</v>
      </c>
      <c r="M15" s="311">
        <f t="shared" si="6"/>
        <v>145789965.19</v>
      </c>
      <c r="N15" s="311">
        <f t="shared" si="6"/>
        <v>0</v>
      </c>
      <c r="O15" s="311">
        <f t="shared" si="6"/>
        <v>113600000</v>
      </c>
      <c r="P15" s="311">
        <f t="shared" si="6"/>
        <v>113600000</v>
      </c>
      <c r="Q15" s="311">
        <f t="shared" si="6"/>
        <v>0</v>
      </c>
      <c r="R15" s="311">
        <f t="shared" si="6"/>
        <v>0</v>
      </c>
      <c r="S15" s="311">
        <f t="shared" si="6"/>
        <v>0</v>
      </c>
      <c r="T15" s="311">
        <f t="shared" si="6"/>
        <v>0</v>
      </c>
      <c r="U15" s="311">
        <f t="shared" si="6"/>
        <v>0</v>
      </c>
      <c r="V15" s="311">
        <f t="shared" si="6"/>
        <v>847100</v>
      </c>
      <c r="W15" s="311">
        <f t="shared" si="6"/>
        <v>0</v>
      </c>
      <c r="X15" s="311">
        <f t="shared" si="6"/>
        <v>0</v>
      </c>
      <c r="Y15" s="311">
        <f t="shared" si="6"/>
        <v>0</v>
      </c>
      <c r="Z15" s="311">
        <f t="shared" si="6"/>
        <v>0</v>
      </c>
      <c r="AA15" s="311">
        <f t="shared" si="6"/>
        <v>0</v>
      </c>
      <c r="AB15" s="311">
        <f t="shared" si="6"/>
        <v>0</v>
      </c>
      <c r="AC15" s="311">
        <f>SUM(AC16:AC18)</f>
        <v>0</v>
      </c>
      <c r="AD15" s="319">
        <f t="shared" si="1"/>
        <v>0</v>
      </c>
      <c r="AE15" s="327"/>
      <c r="AF15" s="468"/>
      <c r="AG15" s="327">
        <f>AE15-AF15</f>
        <v>0</v>
      </c>
    </row>
    <row r="16" spans="1:34" ht="31.5" x14ac:dyDescent="0.25">
      <c r="A16" s="328" t="s">
        <v>283</v>
      </c>
      <c r="B16" s="23" t="s">
        <v>32</v>
      </c>
      <c r="C16" s="313">
        <v>145790100</v>
      </c>
      <c r="D16" s="313">
        <f>H16+J16+L16+N16+P16+R16+T16+V16+X16+Z16+AB16</f>
        <v>145790100</v>
      </c>
      <c r="E16" s="313">
        <f t="shared" si="5"/>
        <v>0</v>
      </c>
      <c r="F16" s="314">
        <f>I16+K16+M16+O16+Q16+S16+U16+W16+Y16+AA16+AC16</f>
        <v>145789965.19</v>
      </c>
      <c r="G16" s="315">
        <f>C16-D16</f>
        <v>0</v>
      </c>
      <c r="H16" s="329"/>
      <c r="I16" s="329"/>
      <c r="J16" s="329"/>
      <c r="K16" s="330">
        <f>'Бюдж роспись КБ'!V61+'Бюдж роспись КБ'!V62</f>
        <v>0</v>
      </c>
      <c r="L16" s="329">
        <v>145790100</v>
      </c>
      <c r="M16" s="330">
        <f>'Бюдж роспись КБ'!Z61+'Бюдж роспись КБ'!Z62</f>
        <v>145789965.19</v>
      </c>
      <c r="N16" s="329"/>
      <c r="O16" s="330">
        <f>'Бюдж роспись КБ'!AD61+'Бюдж роспись КБ'!AD62</f>
        <v>0</v>
      </c>
      <c r="P16" s="329"/>
      <c r="Q16" s="330">
        <f>'Бюдж роспись КБ'!AH61</f>
        <v>0</v>
      </c>
      <c r="R16" s="329"/>
      <c r="S16" s="329"/>
      <c r="T16" s="329"/>
      <c r="U16" s="330"/>
      <c r="V16" s="329"/>
      <c r="W16" s="331"/>
      <c r="X16" s="331"/>
      <c r="Y16" s="331"/>
      <c r="Z16" s="329"/>
      <c r="AA16" s="329">
        <f>'Бюдж роспись КБ'!BB61+'Бюдж роспись КБ'!BB62</f>
        <v>0</v>
      </c>
      <c r="AB16" s="329"/>
      <c r="AC16" s="318"/>
      <c r="AD16" s="319">
        <f t="shared" si="1"/>
        <v>0</v>
      </c>
      <c r="AE16" s="319"/>
      <c r="AF16" s="371"/>
      <c r="AG16" s="319">
        <f>AE16-AF16</f>
        <v>0</v>
      </c>
      <c r="AH16" s="320"/>
    </row>
    <row r="17" spans="1:34" ht="47.25" x14ac:dyDescent="0.25">
      <c r="A17" s="328" t="s">
        <v>284</v>
      </c>
      <c r="B17" s="23" t="s">
        <v>34</v>
      </c>
      <c r="C17" s="313">
        <v>63900000</v>
      </c>
      <c r="D17" s="313">
        <f>H17+J17+L17+N17+P17+R17+T17+V17+X17+Z17+AB17</f>
        <v>63900000</v>
      </c>
      <c r="E17" s="313">
        <f t="shared" si="5"/>
        <v>0</v>
      </c>
      <c r="F17" s="314">
        <f>I17+K17+M17+O17+Q17+S17+U17+W17+Y17+AA17+AC17</f>
        <v>63900000</v>
      </c>
      <c r="G17" s="315">
        <f>C17-D17</f>
        <v>0</v>
      </c>
      <c r="H17" s="329"/>
      <c r="I17" s="329"/>
      <c r="J17" s="329"/>
      <c r="K17" s="330"/>
      <c r="L17" s="329"/>
      <c r="M17" s="330"/>
      <c r="N17" s="329"/>
      <c r="O17" s="330">
        <f>'Бюдж роспись КБ'!AD114</f>
        <v>63900000</v>
      </c>
      <c r="P17" s="329">
        <v>63900000</v>
      </c>
      <c r="Q17" s="330"/>
      <c r="R17" s="329"/>
      <c r="S17" s="329"/>
      <c r="T17" s="329"/>
      <c r="U17" s="330"/>
      <c r="V17" s="329"/>
      <c r="W17" s="329">
        <f>'Бюдж роспись КБ'!AT114</f>
        <v>0</v>
      </c>
      <c r="X17" s="331"/>
      <c r="Y17" s="331">
        <f>'Бюдж роспись КБ'!AX114</f>
        <v>0</v>
      </c>
      <c r="Z17" s="329"/>
      <c r="AA17" s="331"/>
      <c r="AB17" s="329"/>
      <c r="AC17" s="321"/>
      <c r="AD17" s="319">
        <f t="shared" si="1"/>
        <v>0</v>
      </c>
      <c r="AE17" s="319"/>
      <c r="AF17" s="371"/>
      <c r="AG17" s="319">
        <f>AE17-AF17</f>
        <v>0</v>
      </c>
      <c r="AH17" s="320"/>
    </row>
    <row r="18" spans="1:34" ht="31.5" x14ac:dyDescent="0.25">
      <c r="A18" s="328" t="s">
        <v>285</v>
      </c>
      <c r="B18" s="23" t="s">
        <v>36</v>
      </c>
      <c r="C18" s="313">
        <v>49700000</v>
      </c>
      <c r="D18" s="313">
        <f>H18+J18+L18+N18+P18+R18+T18+V18+X18+Z18+AB18</f>
        <v>49700000</v>
      </c>
      <c r="E18" s="313">
        <f t="shared" si="5"/>
        <v>0</v>
      </c>
      <c r="F18" s="314">
        <f>I18+K18+M18+O18+Q18+S18+U18+W18+Y18+AA18+AC18</f>
        <v>49700000</v>
      </c>
      <c r="G18" s="315">
        <f>C18-D18</f>
        <v>0</v>
      </c>
      <c r="H18" s="329"/>
      <c r="I18" s="329"/>
      <c r="J18" s="329"/>
      <c r="K18" s="330"/>
      <c r="L18" s="329"/>
      <c r="M18" s="330"/>
      <c r="N18" s="329"/>
      <c r="O18" s="330">
        <f>'Бюдж роспись КБ'!AD116</f>
        <v>49700000</v>
      </c>
      <c r="P18" s="329">
        <v>49700000</v>
      </c>
      <c r="Q18" s="329"/>
      <c r="R18" s="329"/>
      <c r="S18" s="329"/>
      <c r="T18" s="329"/>
      <c r="U18" s="330"/>
      <c r="V18" s="329"/>
      <c r="W18" s="331"/>
      <c r="X18" s="331"/>
      <c r="Y18" s="331"/>
      <c r="Z18" s="329"/>
      <c r="AA18" s="329">
        <f>'Бюдж роспись КБ'!BB116</f>
        <v>0</v>
      </c>
      <c r="AB18" s="329"/>
      <c r="AC18" s="321"/>
      <c r="AD18" s="319">
        <f t="shared" si="1"/>
        <v>0</v>
      </c>
      <c r="AE18" s="319"/>
      <c r="AF18" s="371"/>
      <c r="AG18" s="319">
        <f>AE18-AF18</f>
        <v>0</v>
      </c>
      <c r="AH18" s="320"/>
    </row>
    <row r="19" spans="1:34" ht="31.5" x14ac:dyDescent="0.25">
      <c r="A19" s="312" t="s">
        <v>481</v>
      </c>
      <c r="B19" s="23" t="s">
        <v>389</v>
      </c>
      <c r="C19" s="313">
        <v>847100</v>
      </c>
      <c r="D19" s="313">
        <f>H19+J19+L19+N19+P19+R19+T19+V19+X19+Z19+AB19</f>
        <v>847100</v>
      </c>
      <c r="E19" s="313">
        <f t="shared" si="5"/>
        <v>0</v>
      </c>
      <c r="F19" s="314">
        <f>I19+K19+M19+O19+Q19+S19+U19+W19+Y19+AA19+AC19</f>
        <v>0</v>
      </c>
      <c r="G19" s="315">
        <f>C19-D19</f>
        <v>0</v>
      </c>
      <c r="H19" s="329"/>
      <c r="I19" s="329"/>
      <c r="J19" s="329"/>
      <c r="K19" s="330"/>
      <c r="L19" s="329"/>
      <c r="M19" s="330"/>
      <c r="N19" s="329"/>
      <c r="O19" s="330"/>
      <c r="P19" s="329"/>
      <c r="Q19" s="329"/>
      <c r="R19" s="329"/>
      <c r="S19" s="329"/>
      <c r="T19" s="329"/>
      <c r="U19" s="330"/>
      <c r="V19" s="329">
        <v>847100</v>
      </c>
      <c r="W19" s="331"/>
      <c r="X19" s="331"/>
      <c r="Y19" s="331"/>
      <c r="Z19" s="329"/>
      <c r="AA19" s="329"/>
      <c r="AB19" s="329"/>
      <c r="AC19" s="321"/>
      <c r="AD19" s="319"/>
      <c r="AE19" s="319"/>
      <c r="AF19" s="371"/>
      <c r="AG19" s="319"/>
      <c r="AH19" s="320"/>
    </row>
    <row r="20" spans="1:34" s="286" customFormat="1" x14ac:dyDescent="0.25">
      <c r="A20" s="332"/>
      <c r="B20" s="118"/>
      <c r="C20" s="120"/>
      <c r="D20" s="120"/>
      <c r="E20" s="313"/>
      <c r="F20" s="120"/>
      <c r="G20" s="315"/>
      <c r="H20" s="329"/>
      <c r="I20" s="329"/>
      <c r="J20" s="329"/>
      <c r="K20" s="329"/>
      <c r="L20" s="329"/>
      <c r="M20" s="329"/>
      <c r="N20" s="329"/>
      <c r="O20" s="329"/>
      <c r="P20" s="329"/>
      <c r="Q20" s="329"/>
      <c r="R20" s="329"/>
      <c r="S20" s="329"/>
      <c r="T20" s="329"/>
      <c r="U20" s="329"/>
      <c r="V20" s="329"/>
      <c r="W20" s="329"/>
      <c r="X20" s="329"/>
      <c r="Y20" s="329"/>
      <c r="Z20" s="329"/>
      <c r="AA20" s="329"/>
      <c r="AB20" s="329"/>
      <c r="AC20" s="321"/>
      <c r="AD20" s="319">
        <f t="shared" ref="AD20:AD28" si="7">C20-D20</f>
        <v>0</v>
      </c>
      <c r="AE20" s="319"/>
      <c r="AF20" s="371"/>
      <c r="AG20" s="319"/>
      <c r="AH20" s="320"/>
    </row>
    <row r="21" spans="1:34" ht="47.25" x14ac:dyDescent="0.25">
      <c r="A21" s="333" t="s">
        <v>286</v>
      </c>
      <c r="B21" s="61" t="s">
        <v>38</v>
      </c>
      <c r="C21" s="309">
        <v>10518500</v>
      </c>
      <c r="D21" s="309">
        <f>H21+J21+L21+N21+P21+R21+T21+V21+X21+Z21+AB21</f>
        <v>10518500</v>
      </c>
      <c r="E21" s="309">
        <f t="shared" si="5"/>
        <v>0</v>
      </c>
      <c r="F21" s="334">
        <f>I21+K21+M21+O21+Q21+S21+U21+W21+Y21+AA21+AC21</f>
        <v>10346096.35</v>
      </c>
      <c r="G21" s="732">
        <f>C21-D21</f>
        <v>0</v>
      </c>
      <c r="H21" s="313"/>
      <c r="I21" s="313"/>
      <c r="J21" s="313"/>
      <c r="K21" s="313">
        <f>'Бюдж роспись КБ'!V138+'Бюдж роспись КБ'!V139</f>
        <v>9531882.4100000001</v>
      </c>
      <c r="L21" s="313"/>
      <c r="M21" s="313">
        <f>('Бюдж роспись КБ'!Z138+'Бюдж роспись КБ'!Z139)</f>
        <v>533931.05000000005</v>
      </c>
      <c r="N21" s="313">
        <v>8932328.3200000003</v>
      </c>
      <c r="O21" s="313">
        <f>'Бюдж роспись КБ'!AD139+'Бюдж роспись КБ'!AD138</f>
        <v>152495.85</v>
      </c>
      <c r="P21" s="313">
        <v>128767.75</v>
      </c>
      <c r="Q21" s="313">
        <f>'Бюдж роспись КБ'!AH138</f>
        <v>127787.04</v>
      </c>
      <c r="R21" s="313">
        <v>121004.92</v>
      </c>
      <c r="S21" s="120">
        <f>'Бюдж роспись КБ'!AL138</f>
        <v>0</v>
      </c>
      <c r="T21" s="313">
        <v>106262.65</v>
      </c>
      <c r="U21" s="313">
        <f>'Бюдж роспись КБ'!AP138</f>
        <v>0</v>
      </c>
      <c r="V21" s="313">
        <v>98732.86</v>
      </c>
      <c r="W21" s="313">
        <f>'Бюдж роспись КБ'!AT138</f>
        <v>0</v>
      </c>
      <c r="X21" s="313">
        <v>966465.14</v>
      </c>
      <c r="Y21" s="313">
        <f>'Бюдж роспись КБ'!AX138</f>
        <v>0</v>
      </c>
      <c r="Z21" s="313">
        <v>84041.1</v>
      </c>
      <c r="AA21" s="313">
        <f>'Бюдж роспись КБ'!BB138</f>
        <v>0</v>
      </c>
      <c r="AB21" s="313">
        <v>80897.259999999995</v>
      </c>
      <c r="AC21" s="321"/>
      <c r="AD21" s="319">
        <f t="shared" si="7"/>
        <v>0</v>
      </c>
      <c r="AE21" s="319"/>
      <c r="AF21" s="371"/>
      <c r="AG21" s="319"/>
      <c r="AH21" s="320"/>
    </row>
    <row r="22" spans="1:34" s="286" customFormat="1" x14ac:dyDescent="0.25">
      <c r="A22" s="332"/>
      <c r="B22" s="118"/>
      <c r="C22" s="120"/>
      <c r="D22" s="120"/>
      <c r="E22" s="313"/>
      <c r="F22" s="120"/>
      <c r="G22" s="315"/>
      <c r="H22" s="329"/>
      <c r="I22" s="329"/>
      <c r="J22" s="329"/>
      <c r="K22" s="329"/>
      <c r="L22" s="329"/>
      <c r="M22" s="329"/>
      <c r="N22" s="329"/>
      <c r="O22" s="329"/>
      <c r="P22" s="329"/>
      <c r="Q22" s="329"/>
      <c r="R22" s="329"/>
      <c r="S22" s="329"/>
      <c r="T22" s="329"/>
      <c r="U22" s="329"/>
      <c r="V22" s="329"/>
      <c r="W22" s="329"/>
      <c r="X22" s="329"/>
      <c r="Y22" s="329"/>
      <c r="Z22" s="329"/>
      <c r="AA22" s="329"/>
      <c r="AB22" s="329"/>
      <c r="AC22" s="321"/>
      <c r="AD22" s="319">
        <f t="shared" si="7"/>
        <v>0</v>
      </c>
      <c r="AE22" s="319"/>
      <c r="AF22" s="371"/>
      <c r="AG22" s="319"/>
      <c r="AH22" s="320"/>
    </row>
    <row r="23" spans="1:34" s="286" customFormat="1" ht="31.5" x14ac:dyDescent="0.25">
      <c r="A23" s="333" t="s">
        <v>514</v>
      </c>
      <c r="B23" s="33"/>
      <c r="C23" s="311">
        <f>SUM(C24:C25)</f>
        <v>65499000</v>
      </c>
      <c r="D23" s="309">
        <f>H23+J23+L23+N23+P23+R23+T23+V23+X23+Z23+AB23</f>
        <v>65499000</v>
      </c>
      <c r="E23" s="309">
        <f>I23+K23+M23+O23+Q23+S23+U23+W23+Y23+AA23+AC23</f>
        <v>38461383.849999994</v>
      </c>
      <c r="F23" s="310">
        <f>SUM(F24:F25)</f>
        <v>38461383.849999994</v>
      </c>
      <c r="G23" s="374">
        <f t="shared" ref="G23:AB23" si="8">SUM(G24:G25)</f>
        <v>0</v>
      </c>
      <c r="H23" s="311">
        <f t="shared" si="8"/>
        <v>0</v>
      </c>
      <c r="I23" s="311">
        <f t="shared" si="8"/>
        <v>0</v>
      </c>
      <c r="J23" s="311">
        <f t="shared" si="8"/>
        <v>0</v>
      </c>
      <c r="K23" s="311">
        <f t="shared" si="8"/>
        <v>0</v>
      </c>
      <c r="L23" s="311">
        <f t="shared" si="8"/>
        <v>18000000</v>
      </c>
      <c r="M23" s="311">
        <f t="shared" si="8"/>
        <v>0</v>
      </c>
      <c r="N23" s="311">
        <f t="shared" si="8"/>
        <v>0</v>
      </c>
      <c r="O23" s="311">
        <f t="shared" si="8"/>
        <v>3915023.88</v>
      </c>
      <c r="P23" s="311">
        <f t="shared" si="8"/>
        <v>35643000</v>
      </c>
      <c r="Q23" s="311">
        <f t="shared" si="8"/>
        <v>22368334.969999999</v>
      </c>
      <c r="R23" s="311">
        <f t="shared" si="8"/>
        <v>0</v>
      </c>
      <c r="S23" s="311">
        <f t="shared" si="8"/>
        <v>12178025</v>
      </c>
      <c r="T23" s="311">
        <f t="shared" si="8"/>
        <v>0</v>
      </c>
      <c r="U23" s="311">
        <f t="shared" si="8"/>
        <v>0</v>
      </c>
      <c r="V23" s="311">
        <f t="shared" si="8"/>
        <v>0</v>
      </c>
      <c r="W23" s="311">
        <f t="shared" si="8"/>
        <v>0</v>
      </c>
      <c r="X23" s="311">
        <f t="shared" si="8"/>
        <v>11856000</v>
      </c>
      <c r="Y23" s="311">
        <f t="shared" si="8"/>
        <v>0</v>
      </c>
      <c r="Z23" s="311">
        <f t="shared" si="8"/>
        <v>0</v>
      </c>
      <c r="AA23" s="311">
        <f t="shared" si="8"/>
        <v>0</v>
      </c>
      <c r="AB23" s="311">
        <f t="shared" si="8"/>
        <v>0</v>
      </c>
      <c r="AC23" s="321"/>
      <c r="AD23" s="319">
        <f t="shared" si="7"/>
        <v>0</v>
      </c>
      <c r="AE23" s="319"/>
      <c r="AF23" s="371"/>
      <c r="AG23" s="319"/>
      <c r="AH23" s="320"/>
    </row>
    <row r="24" spans="1:34" s="286" customFormat="1" x14ac:dyDescent="0.25">
      <c r="A24" s="328" t="s">
        <v>287</v>
      </c>
      <c r="B24" s="22" t="s">
        <v>407</v>
      </c>
      <c r="C24" s="120">
        <v>35643000</v>
      </c>
      <c r="D24" s="313">
        <f>H24+J24+L24+N24+P24+R24+T24+V24+X24+Z24+AB24</f>
        <v>35643000</v>
      </c>
      <c r="E24" s="313">
        <f t="shared" si="5"/>
        <v>0</v>
      </c>
      <c r="F24" s="314">
        <f>I24+K24+M24+O24+Q24+S24+U24+W24+Y24+AA24+AC24</f>
        <v>26712448.329999998</v>
      </c>
      <c r="G24" s="315">
        <f>C24-D24</f>
        <v>0</v>
      </c>
      <c r="H24" s="329"/>
      <c r="I24" s="329"/>
      <c r="J24" s="329"/>
      <c r="K24" s="329"/>
      <c r="L24" s="329"/>
      <c r="M24" s="329"/>
      <c r="N24" s="329"/>
      <c r="O24" s="329"/>
      <c r="P24" s="329">
        <v>35643000</v>
      </c>
      <c r="Q24" s="329">
        <f>'Бюдж роспись КБ'!AH118</f>
        <v>14534423.33</v>
      </c>
      <c r="R24" s="329"/>
      <c r="S24" s="329">
        <f>'Бюдж роспись КБ'!AL118</f>
        <v>12178025</v>
      </c>
      <c r="T24" s="329"/>
      <c r="U24" s="329"/>
      <c r="V24" s="329"/>
      <c r="W24" s="329">
        <f>'Бюдж роспись КБ'!AT118</f>
        <v>0</v>
      </c>
      <c r="X24" s="329"/>
      <c r="Y24" s="329"/>
      <c r="Z24" s="329"/>
      <c r="AA24" s="329">
        <f>'Бюдж роспись КБ'!BB118</f>
        <v>0</v>
      </c>
      <c r="AB24" s="329"/>
      <c r="AC24" s="321"/>
      <c r="AD24" s="319">
        <f t="shared" si="7"/>
        <v>0</v>
      </c>
      <c r="AE24" s="319"/>
      <c r="AF24" s="371"/>
      <c r="AG24" s="319"/>
      <c r="AH24" s="320"/>
    </row>
    <row r="25" spans="1:34" s="286" customFormat="1" x14ac:dyDescent="0.25">
      <c r="A25" s="328" t="s">
        <v>288</v>
      </c>
      <c r="B25" s="22" t="s">
        <v>408</v>
      </c>
      <c r="C25" s="120">
        <v>29856000</v>
      </c>
      <c r="D25" s="313">
        <f>H25+J25+L25+N25+P25+R25+T25+V25+X25+Z25+AB25</f>
        <v>29856000</v>
      </c>
      <c r="E25" s="313">
        <f t="shared" si="5"/>
        <v>0</v>
      </c>
      <c r="F25" s="314">
        <f>I25+K25+M25+O25+Q25+S25+U25+W25+Y25+AA25+AC25</f>
        <v>11748935.52</v>
      </c>
      <c r="G25" s="315">
        <f>C25-D25</f>
        <v>0</v>
      </c>
      <c r="H25" s="329"/>
      <c r="I25" s="329"/>
      <c r="J25" s="329"/>
      <c r="K25" s="329">
        <f>'Бюдж роспись КБ'!V120</f>
        <v>0</v>
      </c>
      <c r="L25" s="329">
        <v>18000000</v>
      </c>
      <c r="M25" s="329"/>
      <c r="N25" s="329"/>
      <c r="O25" s="329">
        <f>'Бюдж роспись КБ'!AD120</f>
        <v>3915023.88</v>
      </c>
      <c r="P25" s="329"/>
      <c r="Q25" s="329">
        <f>'Бюдж роспись КБ'!AH120</f>
        <v>7833911.6399999997</v>
      </c>
      <c r="R25" s="329"/>
      <c r="S25" s="329">
        <f>'Бюдж роспись КБ'!AL120</f>
        <v>0</v>
      </c>
      <c r="T25" s="329"/>
      <c r="U25" s="329">
        <f>'Бюдж роспись КБ'!AP120</f>
        <v>0</v>
      </c>
      <c r="V25" s="329"/>
      <c r="W25" s="329">
        <f>'Бюдж роспись КБ'!AT120</f>
        <v>0</v>
      </c>
      <c r="X25" s="329">
        <v>11856000</v>
      </c>
      <c r="Y25" s="329">
        <f>'Бюдж роспись КБ'!AX120</f>
        <v>0</v>
      </c>
      <c r="Z25" s="329"/>
      <c r="AA25" s="329">
        <f>'Бюдж роспись КБ'!BB120</f>
        <v>0</v>
      </c>
      <c r="AB25" s="329"/>
      <c r="AC25" s="321"/>
      <c r="AD25" s="319">
        <f t="shared" si="7"/>
        <v>0</v>
      </c>
      <c r="AE25" s="319"/>
      <c r="AF25" s="371"/>
      <c r="AG25" s="319"/>
      <c r="AH25" s="320"/>
    </row>
    <row r="26" spans="1:34" x14ac:dyDescent="0.25">
      <c r="A26" s="328"/>
      <c r="B26" s="307"/>
      <c r="C26" s="313"/>
      <c r="D26" s="313"/>
      <c r="E26" s="313"/>
      <c r="F26" s="314">
        <f>I26+K26+M26+O26+Q26+S26+U26+W26+Y26+AA26+AC26</f>
        <v>0</v>
      </c>
      <c r="G26" s="315">
        <f>C26-D26</f>
        <v>0</v>
      </c>
      <c r="H26" s="335"/>
      <c r="I26" s="335"/>
      <c r="J26" s="335"/>
      <c r="K26" s="124"/>
      <c r="L26" s="335"/>
      <c r="M26" s="124"/>
      <c r="N26" s="335"/>
      <c r="O26" s="124"/>
      <c r="P26" s="335"/>
      <c r="Q26" s="124"/>
      <c r="R26" s="335"/>
      <c r="S26" s="335"/>
      <c r="T26" s="335"/>
      <c r="U26" s="124"/>
      <c r="V26" s="335"/>
      <c r="W26" s="336"/>
      <c r="X26" s="331"/>
      <c r="Y26" s="331"/>
      <c r="Z26" s="331"/>
      <c r="AA26" s="337"/>
      <c r="AB26" s="335"/>
      <c r="AC26" s="135"/>
      <c r="AD26" s="319">
        <f t="shared" si="7"/>
        <v>0</v>
      </c>
      <c r="AF26" s="371"/>
      <c r="AG26" s="319"/>
    </row>
    <row r="27" spans="1:34" ht="63" x14ac:dyDescent="0.25">
      <c r="A27" s="333" t="s">
        <v>46</v>
      </c>
      <c r="B27" s="82" t="s">
        <v>47</v>
      </c>
      <c r="C27" s="309">
        <v>263071100</v>
      </c>
      <c r="D27" s="309">
        <f>H27+J27+L27+N27+P27+R27+T27+V27+X27+Z27+AB27</f>
        <v>263071100</v>
      </c>
      <c r="E27" s="309">
        <f t="shared" si="5"/>
        <v>0</v>
      </c>
      <c r="F27" s="334">
        <f>I27+K27+M27+O27+Q27+S27+U27+W27+Y27+AA27+AC27</f>
        <v>0</v>
      </c>
      <c r="G27" s="732">
        <f>C27-D27</f>
        <v>0</v>
      </c>
      <c r="H27" s="329"/>
      <c r="I27" s="329"/>
      <c r="J27" s="329"/>
      <c r="K27" s="329"/>
      <c r="L27" s="329"/>
      <c r="M27" s="329"/>
      <c r="N27" s="329"/>
      <c r="O27" s="329"/>
      <c r="P27" s="329"/>
      <c r="Q27" s="329"/>
      <c r="R27" s="329"/>
      <c r="S27" s="329"/>
      <c r="T27" s="329"/>
      <c r="U27" s="329">
        <f>'Бюдж роспись КБ'!AP92</f>
        <v>0</v>
      </c>
      <c r="V27" s="329"/>
      <c r="W27" s="336"/>
      <c r="X27" s="329"/>
      <c r="Y27" s="331"/>
      <c r="Z27" s="331"/>
      <c r="AA27" s="337"/>
      <c r="AB27" s="329">
        <v>263071100</v>
      </c>
      <c r="AC27" s="135"/>
      <c r="AD27" s="319">
        <f t="shared" si="7"/>
        <v>0</v>
      </c>
      <c r="AF27" s="371"/>
      <c r="AG27" s="319"/>
    </row>
    <row r="28" spans="1:34" x14ac:dyDescent="0.25">
      <c r="A28" s="328"/>
      <c r="B28" s="307"/>
      <c r="C28" s="313"/>
      <c r="D28" s="313"/>
      <c r="E28" s="313"/>
      <c r="F28" s="314"/>
      <c r="G28" s="315"/>
      <c r="H28" s="335"/>
      <c r="I28" s="335"/>
      <c r="J28" s="335"/>
      <c r="K28" s="124"/>
      <c r="L28" s="335"/>
      <c r="M28" s="124"/>
      <c r="N28" s="335"/>
      <c r="O28" s="124"/>
      <c r="P28" s="335"/>
      <c r="Q28" s="124"/>
      <c r="R28" s="335"/>
      <c r="S28" s="335"/>
      <c r="T28" s="335"/>
      <c r="U28" s="124"/>
      <c r="V28" s="335"/>
      <c r="W28" s="336"/>
      <c r="X28" s="331"/>
      <c r="Y28" s="331"/>
      <c r="Z28" s="331"/>
      <c r="AA28" s="337"/>
      <c r="AB28" s="335"/>
      <c r="AC28" s="135"/>
      <c r="AD28" s="319">
        <f t="shared" si="7"/>
        <v>0</v>
      </c>
      <c r="AF28" s="371"/>
      <c r="AG28" s="319"/>
    </row>
    <row r="29" spans="1:34" ht="110.25" x14ac:dyDescent="0.25">
      <c r="A29" s="333" t="s">
        <v>387</v>
      </c>
      <c r="B29" s="82" t="s">
        <v>410</v>
      </c>
      <c r="C29" s="731">
        <v>178810300</v>
      </c>
      <c r="D29" s="309">
        <f>H29+J29+L29+N29+P29+R29+T29+V29+X29+Z29+AB29</f>
        <v>178810300</v>
      </c>
      <c r="E29" s="309">
        <f t="shared" si="5"/>
        <v>0</v>
      </c>
      <c r="F29" s="334">
        <f>I29+K29+M29+O29+Q29+S29+U29+W29+Y29+AA29+AC29</f>
        <v>178809988.24000001</v>
      </c>
      <c r="G29" s="732">
        <f>C29-D29</f>
        <v>0</v>
      </c>
      <c r="H29" s="471"/>
      <c r="I29" s="471"/>
      <c r="J29" s="471"/>
      <c r="K29" s="472"/>
      <c r="L29" s="471"/>
      <c r="M29" s="864">
        <f>'Бюдж роспись КБ'!Z57+'Бюдж роспись КБ'!Z58</f>
        <v>178809988.24000001</v>
      </c>
      <c r="N29" s="471"/>
      <c r="O29" s="472"/>
      <c r="P29" s="471"/>
      <c r="Q29" s="472"/>
      <c r="R29" s="471"/>
      <c r="S29" s="471"/>
      <c r="T29" s="471"/>
      <c r="U29" s="472"/>
      <c r="V29" s="471"/>
      <c r="W29" s="473"/>
      <c r="X29" s="474">
        <v>178810300</v>
      </c>
      <c r="Y29" s="474"/>
      <c r="Z29" s="474"/>
      <c r="AA29" s="475"/>
      <c r="AB29" s="471"/>
      <c r="AC29" s="476"/>
      <c r="AD29" s="319"/>
      <c r="AF29" s="371"/>
      <c r="AG29" s="319"/>
    </row>
    <row r="30" spans="1:34" x14ac:dyDescent="0.25">
      <c r="A30" s="328"/>
      <c r="B30" s="307"/>
      <c r="C30" s="470"/>
      <c r="D30" s="309">
        <f t="shared" ref="D30:D31" si="9">H30+J30+L30+N30+P30+R30+T30+V30+X30+Z30+AB30</f>
        <v>0</v>
      </c>
      <c r="E30" s="309">
        <f t="shared" ref="E30:E31" si="10">C30-D30</f>
        <v>0</v>
      </c>
      <c r="F30" s="334">
        <f t="shared" ref="F30:F31" si="11">I30+K30+M30+O30+Q30+S30+U30+W30+Y30+AA30+AC30</f>
        <v>0</v>
      </c>
      <c r="G30" s="732">
        <f t="shared" ref="G30:G31" si="12">C30-D30</f>
        <v>0</v>
      </c>
      <c r="H30" s="471"/>
      <c r="I30" s="471"/>
      <c r="J30" s="471"/>
      <c r="K30" s="472"/>
      <c r="L30" s="471"/>
      <c r="M30" s="472"/>
      <c r="N30" s="471"/>
      <c r="O30" s="472"/>
      <c r="P30" s="471"/>
      <c r="Q30" s="472"/>
      <c r="R30" s="471"/>
      <c r="S30" s="471"/>
      <c r="T30" s="471"/>
      <c r="U30" s="472"/>
      <c r="V30" s="471"/>
      <c r="W30" s="473"/>
      <c r="X30" s="474"/>
      <c r="Y30" s="474"/>
      <c r="Z30" s="474"/>
      <c r="AA30" s="475"/>
      <c r="AB30" s="471"/>
      <c r="AC30" s="476"/>
      <c r="AD30" s="319"/>
      <c r="AF30" s="371"/>
      <c r="AG30" s="319"/>
    </row>
    <row r="31" spans="1:34" ht="126" x14ac:dyDescent="0.25">
      <c r="A31" s="333" t="s">
        <v>611</v>
      </c>
      <c r="B31" s="307" t="s">
        <v>583</v>
      </c>
      <c r="C31" s="470">
        <v>54335100</v>
      </c>
      <c r="D31" s="309">
        <f t="shared" si="9"/>
        <v>19700000</v>
      </c>
      <c r="E31" s="309">
        <f t="shared" si="10"/>
        <v>34635100</v>
      </c>
      <c r="F31" s="334">
        <f t="shared" si="11"/>
        <v>0</v>
      </c>
      <c r="G31" s="732">
        <f t="shared" si="12"/>
        <v>34635100</v>
      </c>
      <c r="H31" s="471"/>
      <c r="I31" s="471"/>
      <c r="J31" s="471"/>
      <c r="K31" s="472"/>
      <c r="L31" s="471"/>
      <c r="M31" s="472"/>
      <c r="N31" s="471"/>
      <c r="O31" s="472"/>
      <c r="P31" s="471"/>
      <c r="Q31" s="472"/>
      <c r="R31" s="471">
        <v>6600000</v>
      </c>
      <c r="S31" s="1016">
        <f>'Бюдж роспись КБ'!AL100+'Бюдж роспись КБ'!AL99</f>
        <v>0</v>
      </c>
      <c r="T31" s="471">
        <v>6600000</v>
      </c>
      <c r="U31" s="472"/>
      <c r="V31" s="471">
        <v>6500000</v>
      </c>
      <c r="W31" s="473"/>
      <c r="X31" s="474"/>
      <c r="Y31" s="474"/>
      <c r="Z31" s="474"/>
      <c r="AA31" s="475"/>
      <c r="AB31" s="471"/>
      <c r="AC31" s="476"/>
      <c r="AD31" s="319"/>
      <c r="AF31" s="371"/>
      <c r="AG31" s="319"/>
    </row>
    <row r="32" spans="1:34" x14ac:dyDescent="0.25">
      <c r="A32" s="328"/>
      <c r="B32" s="307"/>
      <c r="C32" s="470"/>
      <c r="D32" s="313"/>
      <c r="E32" s="313"/>
      <c r="F32" s="314"/>
      <c r="G32" s="315"/>
      <c r="H32" s="471"/>
      <c r="I32" s="471"/>
      <c r="J32" s="471"/>
      <c r="K32" s="472"/>
      <c r="L32" s="471"/>
      <c r="M32" s="472"/>
      <c r="N32" s="471"/>
      <c r="O32" s="472"/>
      <c r="P32" s="471"/>
      <c r="Q32" s="472"/>
      <c r="R32" s="471"/>
      <c r="S32" s="471"/>
      <c r="T32" s="471"/>
      <c r="U32" s="472"/>
      <c r="V32" s="471"/>
      <c r="W32" s="473"/>
      <c r="X32" s="474"/>
      <c r="Y32" s="474"/>
      <c r="Z32" s="474"/>
      <c r="AA32" s="475"/>
      <c r="AB32" s="471"/>
      <c r="AC32" s="476"/>
      <c r="AD32" s="319"/>
      <c r="AF32" s="371"/>
      <c r="AG32" s="319"/>
    </row>
    <row r="33" spans="1:33" ht="110.25" x14ac:dyDescent="0.25">
      <c r="A33" s="333" t="s">
        <v>479</v>
      </c>
      <c r="B33" s="307"/>
      <c r="C33" s="311">
        <f>SUM(C34:C35)</f>
        <v>26801800</v>
      </c>
      <c r="D33" s="309">
        <f>H33+J33+L33+N33+P33+R33+T33+V33+X33+Z33+AB33</f>
        <v>26801800</v>
      </c>
      <c r="E33" s="309">
        <f>I33+K33+M33+O33+Q33+S33+U33+W33+Y33+AA33+AC33</f>
        <v>0</v>
      </c>
      <c r="F33" s="334">
        <f>I33+K33+M33+O33+Q33+S33+U33+W33+Y33+AA33+AC33</f>
        <v>0</v>
      </c>
      <c r="G33" s="732">
        <f t="shared" ref="G33:G41" si="13">C33-D33</f>
        <v>0</v>
      </c>
      <c r="H33" s="471"/>
      <c r="I33" s="471"/>
      <c r="J33" s="471"/>
      <c r="K33" s="472"/>
      <c r="L33" s="471"/>
      <c r="M33" s="472"/>
      <c r="N33" s="471"/>
      <c r="O33" s="472"/>
      <c r="P33" s="471"/>
      <c r="Q33" s="472"/>
      <c r="R33" s="471"/>
      <c r="S33" s="471"/>
      <c r="T33" s="471"/>
      <c r="U33" s="472"/>
      <c r="V33" s="471"/>
      <c r="W33" s="473"/>
      <c r="X33" s="474"/>
      <c r="Y33" s="474"/>
      <c r="Z33" s="311">
        <f>SUM(Z34:Z35)</f>
        <v>26801800</v>
      </c>
      <c r="AA33" s="475"/>
      <c r="AB33" s="471"/>
      <c r="AC33" s="476"/>
      <c r="AD33" s="319"/>
      <c r="AF33" s="371"/>
      <c r="AG33" s="319"/>
    </row>
    <row r="34" spans="1:33" ht="31.5" x14ac:dyDescent="0.25">
      <c r="A34" s="328" t="s">
        <v>482</v>
      </c>
      <c r="B34" s="307" t="s">
        <v>422</v>
      </c>
      <c r="C34" s="470">
        <v>20494600</v>
      </c>
      <c r="D34" s="313">
        <f>H34+J34+L34+N34+P34+R34+T34+V34+X34+Z34+AB34</f>
        <v>20494600</v>
      </c>
      <c r="E34" s="313">
        <f t="shared" si="5"/>
        <v>0</v>
      </c>
      <c r="F34" s="314">
        <f>I34+K34+M34+O34+Q34+S34+U34+W34+Y34+AA34+AC34</f>
        <v>0</v>
      </c>
      <c r="G34" s="315">
        <f t="shared" si="13"/>
        <v>0</v>
      </c>
      <c r="H34" s="471"/>
      <c r="I34" s="471"/>
      <c r="J34" s="471"/>
      <c r="K34" s="472"/>
      <c r="L34" s="471"/>
      <c r="M34" s="472"/>
      <c r="N34" s="471"/>
      <c r="O34" s="472"/>
      <c r="P34" s="471"/>
      <c r="Q34" s="472"/>
      <c r="R34" s="471"/>
      <c r="S34" s="471"/>
      <c r="T34" s="471"/>
      <c r="U34" s="472"/>
      <c r="V34" s="471"/>
      <c r="W34" s="473"/>
      <c r="X34" s="474"/>
      <c r="Y34" s="474"/>
      <c r="Z34" s="474">
        <v>20494600</v>
      </c>
      <c r="AA34" s="475"/>
      <c r="AB34" s="471"/>
      <c r="AC34" s="476"/>
      <c r="AD34" s="319"/>
      <c r="AF34" s="371"/>
      <c r="AG34" s="319"/>
    </row>
    <row r="35" spans="1:33" x14ac:dyDescent="0.25">
      <c r="A35" s="328" t="s">
        <v>483</v>
      </c>
      <c r="B35" s="307" t="s">
        <v>421</v>
      </c>
      <c r="C35" s="470">
        <v>6307200</v>
      </c>
      <c r="D35" s="313">
        <f>H35+J35+L35+N35+P35+R35+T35+V35+X35+Z35+AB35</f>
        <v>6307200</v>
      </c>
      <c r="E35" s="313">
        <f t="shared" si="5"/>
        <v>0</v>
      </c>
      <c r="F35" s="314">
        <f>I35+K35+M35+O35+Q35+S35+U35+W35+Y35+AA35+AC35</f>
        <v>0</v>
      </c>
      <c r="G35" s="315">
        <f t="shared" si="13"/>
        <v>0</v>
      </c>
      <c r="H35" s="471"/>
      <c r="I35" s="471"/>
      <c r="J35" s="471"/>
      <c r="K35" s="472"/>
      <c r="L35" s="471"/>
      <c r="M35" s="472"/>
      <c r="N35" s="471"/>
      <c r="O35" s="472"/>
      <c r="P35" s="471"/>
      <c r="Q35" s="472"/>
      <c r="R35" s="471"/>
      <c r="S35" s="471"/>
      <c r="T35" s="471"/>
      <c r="U35" s="472"/>
      <c r="V35" s="471"/>
      <c r="W35" s="473"/>
      <c r="X35" s="474"/>
      <c r="Y35" s="474"/>
      <c r="Z35" s="474">
        <v>6307200</v>
      </c>
      <c r="AA35" s="475"/>
      <c r="AB35" s="471"/>
      <c r="AC35" s="476"/>
      <c r="AD35" s="319"/>
      <c r="AF35" s="371"/>
      <c r="AG35" s="319"/>
    </row>
    <row r="36" spans="1:33" x14ac:dyDescent="0.25">
      <c r="A36" s="328"/>
      <c r="B36" s="307"/>
      <c r="C36" s="470"/>
      <c r="D36" s="313"/>
      <c r="E36" s="313"/>
      <c r="F36" s="314"/>
      <c r="G36" s="315">
        <f t="shared" si="13"/>
        <v>0</v>
      </c>
      <c r="H36" s="471"/>
      <c r="I36" s="471"/>
      <c r="J36" s="471"/>
      <c r="K36" s="472"/>
      <c r="L36" s="471"/>
      <c r="M36" s="472"/>
      <c r="N36" s="471"/>
      <c r="O36" s="472"/>
      <c r="P36" s="471"/>
      <c r="Q36" s="472"/>
      <c r="R36" s="471"/>
      <c r="S36" s="471"/>
      <c r="T36" s="471"/>
      <c r="U36" s="472"/>
      <c r="V36" s="471"/>
      <c r="W36" s="473"/>
      <c r="X36" s="474"/>
      <c r="Y36" s="474"/>
      <c r="Z36" s="474"/>
      <c r="AA36" s="475"/>
      <c r="AB36" s="471"/>
      <c r="AC36" s="476"/>
      <c r="AD36" s="319"/>
      <c r="AF36" s="371"/>
      <c r="AG36" s="319"/>
    </row>
    <row r="37" spans="1:33" ht="31.5" x14ac:dyDescent="0.25">
      <c r="A37" s="333" t="s">
        <v>307</v>
      </c>
      <c r="B37" s="248"/>
      <c r="C37" s="311">
        <f>SUM(C38:C41)</f>
        <v>12826400</v>
      </c>
      <c r="D37" s="309">
        <f>H37+J37+L37+N37+P37+R37+T37+V37+X37+Z37+AB37</f>
        <v>12826399.999999996</v>
      </c>
      <c r="E37" s="309">
        <f>I37+K37+M37+O37+Q37+S37+U37+W37+Y37+AA37+AC37</f>
        <v>10706893.26</v>
      </c>
      <c r="F37" s="334">
        <f>I37+K37+M37+O37+Q37+S37+U37+W37+Y37+AA37+AC37</f>
        <v>10706893.26</v>
      </c>
      <c r="G37" s="732">
        <f t="shared" si="13"/>
        <v>0</v>
      </c>
      <c r="H37" s="311">
        <f t="shared" ref="H37:AB37" si="14">SUM(H38:H41)</f>
        <v>0</v>
      </c>
      <c r="I37" s="311">
        <f t="shared" si="14"/>
        <v>0</v>
      </c>
      <c r="J37" s="311">
        <f t="shared" si="14"/>
        <v>6449140</v>
      </c>
      <c r="K37" s="311">
        <f t="shared" si="14"/>
        <v>6449133.9800000004</v>
      </c>
      <c r="L37" s="311">
        <f t="shared" si="14"/>
        <v>2869560</v>
      </c>
      <c r="M37" s="311">
        <f t="shared" si="14"/>
        <v>2869566.02</v>
      </c>
      <c r="N37" s="311">
        <f t="shared" si="14"/>
        <v>0</v>
      </c>
      <c r="O37" s="311">
        <f t="shared" si="14"/>
        <v>0</v>
      </c>
      <c r="P37" s="311">
        <f t="shared" si="14"/>
        <v>622099.35</v>
      </c>
      <c r="Q37" s="311">
        <f>SUM(Q38:Q41)</f>
        <v>0</v>
      </c>
      <c r="R37" s="311">
        <f t="shared" si="14"/>
        <v>94999.78</v>
      </c>
      <c r="S37" s="311">
        <f t="shared" si="14"/>
        <v>1388193.26</v>
      </c>
      <c r="T37" s="311">
        <f t="shared" si="14"/>
        <v>94999.78</v>
      </c>
      <c r="U37" s="311">
        <f t="shared" si="14"/>
        <v>0</v>
      </c>
      <c r="V37" s="311">
        <f t="shared" si="14"/>
        <v>94999.78</v>
      </c>
      <c r="W37" s="311">
        <f t="shared" si="14"/>
        <v>0</v>
      </c>
      <c r="X37" s="311">
        <f t="shared" si="14"/>
        <v>2455669.63</v>
      </c>
      <c r="Y37" s="311">
        <f t="shared" si="14"/>
        <v>0</v>
      </c>
      <c r="Z37" s="311">
        <f t="shared" si="14"/>
        <v>144931.68</v>
      </c>
      <c r="AA37" s="311">
        <f t="shared" si="14"/>
        <v>0</v>
      </c>
      <c r="AB37" s="311">
        <f t="shared" si="14"/>
        <v>0</v>
      </c>
      <c r="AC37" s="373"/>
      <c r="AD37" s="319">
        <f>C37-D37</f>
        <v>0</v>
      </c>
      <c r="AE37" s="319"/>
      <c r="AF37" s="371"/>
      <c r="AG37" s="319">
        <f>AE37-AF37</f>
        <v>0</v>
      </c>
    </row>
    <row r="38" spans="1:33" x14ac:dyDescent="0.25">
      <c r="A38" s="328" t="s">
        <v>346</v>
      </c>
      <c r="B38" s="248" t="s">
        <v>325</v>
      </c>
      <c r="C38" s="313">
        <v>337100</v>
      </c>
      <c r="D38" s="313">
        <f>H38+J38+L38+N38+P38+R38+T38+V38+X38+Z38+AB38</f>
        <v>337100</v>
      </c>
      <c r="E38" s="313">
        <f t="shared" si="5"/>
        <v>0</v>
      </c>
      <c r="F38" s="314">
        <f>I38+K38+M38+O38+Q38+S38+U38+W38+Y38+AA38+AC38</f>
        <v>318573.61</v>
      </c>
      <c r="G38" s="315">
        <f t="shared" si="13"/>
        <v>0</v>
      </c>
      <c r="H38" s="119"/>
      <c r="I38" s="119"/>
      <c r="J38" s="119"/>
      <c r="K38" s="119"/>
      <c r="L38" s="329"/>
      <c r="M38" s="120"/>
      <c r="N38" s="329"/>
      <c r="O38" s="329"/>
      <c r="P38" s="329">
        <v>337100</v>
      </c>
      <c r="Q38" s="329"/>
      <c r="R38" s="329"/>
      <c r="S38" s="329">
        <f>'Бюдж роспись КБ'!AL198+'Бюдж роспись КБ'!AL199</f>
        <v>318573.61</v>
      </c>
      <c r="T38" s="329"/>
      <c r="U38" s="329"/>
      <c r="V38" s="329"/>
      <c r="W38" s="329">
        <f>'Бюдж роспись КБ'!AT199</f>
        <v>0</v>
      </c>
      <c r="X38" s="329"/>
      <c r="Y38" s="329">
        <f>'Бюдж роспись КБ'!AX199</f>
        <v>0</v>
      </c>
      <c r="Z38" s="329"/>
      <c r="AA38" s="329">
        <f>'Бюдж роспись КБ'!BB199</f>
        <v>0</v>
      </c>
      <c r="AB38" s="329"/>
      <c r="AC38" s="372"/>
      <c r="AD38" s="319">
        <f>C38-D38</f>
        <v>0</v>
      </c>
      <c r="AE38" s="319"/>
      <c r="AF38" s="371"/>
      <c r="AG38" s="319"/>
    </row>
    <row r="39" spans="1:33" x14ac:dyDescent="0.25">
      <c r="A39" s="328" t="s">
        <v>347</v>
      </c>
      <c r="B39" s="248" t="s">
        <v>324</v>
      </c>
      <c r="C39" s="313">
        <v>878900</v>
      </c>
      <c r="D39" s="313">
        <f>H39+J39+L39+N39+P39+R39+T39+V39+X39+Z39+AB39</f>
        <v>878900</v>
      </c>
      <c r="E39" s="313">
        <f t="shared" si="5"/>
        <v>0</v>
      </c>
      <c r="F39" s="314">
        <f>I39+K39+M39+O39+Q39+S39+U39+W39+Y39+AA39+AC39</f>
        <v>205104.53</v>
      </c>
      <c r="G39" s="315">
        <f t="shared" si="13"/>
        <v>0</v>
      </c>
      <c r="H39" s="119"/>
      <c r="I39" s="119"/>
      <c r="J39" s="119"/>
      <c r="K39" s="119"/>
      <c r="L39" s="329"/>
      <c r="M39" s="120"/>
      <c r="N39" s="329"/>
      <c r="O39" s="329"/>
      <c r="P39" s="329">
        <v>284999.34999999998</v>
      </c>
      <c r="Q39" s="329"/>
      <c r="R39" s="329">
        <v>94999.78</v>
      </c>
      <c r="S39" s="329">
        <f>'Бюдж роспись КБ'!AL201</f>
        <v>205104.53</v>
      </c>
      <c r="T39" s="329">
        <v>94999.78</v>
      </c>
      <c r="U39" s="329"/>
      <c r="V39" s="329">
        <v>94999.78</v>
      </c>
      <c r="W39" s="329">
        <f>'Бюдж роспись КБ'!AT201</f>
        <v>0</v>
      </c>
      <c r="X39" s="329">
        <v>163969.63</v>
      </c>
      <c r="Y39" s="329">
        <f>'Бюдж роспись КБ'!AX201</f>
        <v>0</v>
      </c>
      <c r="Z39" s="329">
        <v>144931.68</v>
      </c>
      <c r="AA39" s="329">
        <f>'Бюдж роспись КБ'!BB201</f>
        <v>0</v>
      </c>
      <c r="AB39" s="329"/>
      <c r="AC39" s="372"/>
      <c r="AD39" s="319">
        <f>C39-D39</f>
        <v>0</v>
      </c>
      <c r="AE39" s="319"/>
      <c r="AF39" s="371"/>
      <c r="AG39" s="319"/>
    </row>
    <row r="40" spans="1:33" x14ac:dyDescent="0.25">
      <c r="A40" s="328" t="s">
        <v>345</v>
      </c>
      <c r="B40" s="248" t="s">
        <v>323</v>
      </c>
      <c r="C40" s="313">
        <v>9318700</v>
      </c>
      <c r="D40" s="313">
        <f>H40+J40+L40+N40+P40+R40+T40+V40+X40+Z40+AB40</f>
        <v>9318700</v>
      </c>
      <c r="E40" s="313">
        <f t="shared" si="5"/>
        <v>0</v>
      </c>
      <c r="F40" s="314">
        <f t="shared" ref="F40:F41" si="15">I40+K40+M40+O40+Q40+S40+U40+W40+Y40+AA40+AC40</f>
        <v>9318700</v>
      </c>
      <c r="G40" s="315">
        <f t="shared" si="13"/>
        <v>0</v>
      </c>
      <c r="H40" s="119"/>
      <c r="I40" s="119"/>
      <c r="J40" s="119">
        <v>6449140</v>
      </c>
      <c r="K40" s="119">
        <f>'Бюдж роспись КБ'!V203</f>
        <v>6449133.9800000004</v>
      </c>
      <c r="L40" s="329">
        <v>2869560</v>
      </c>
      <c r="M40" s="120">
        <f>'Бюдж роспись КБ'!Z203</f>
        <v>2869566.02</v>
      </c>
      <c r="N40" s="329"/>
      <c r="O40" s="329"/>
      <c r="P40" s="329"/>
      <c r="R40" s="329"/>
      <c r="S40" s="329"/>
      <c r="T40" s="329"/>
      <c r="U40" s="329"/>
      <c r="V40" s="329"/>
      <c r="W40" s="329"/>
      <c r="X40" s="329"/>
      <c r="Y40" s="329"/>
      <c r="Z40" s="329"/>
      <c r="AA40" s="329">
        <f>'Бюдж роспись КБ'!BB203</f>
        <v>0</v>
      </c>
      <c r="AB40" s="329"/>
      <c r="AC40" s="372"/>
      <c r="AD40" s="319">
        <f>C40-D40</f>
        <v>0</v>
      </c>
      <c r="AE40" s="319"/>
      <c r="AF40" s="371"/>
      <c r="AG40" s="319"/>
    </row>
    <row r="41" spans="1:33" x14ac:dyDescent="0.25">
      <c r="A41" s="328" t="s">
        <v>348</v>
      </c>
      <c r="B41" s="248" t="s">
        <v>500</v>
      </c>
      <c r="C41" s="120">
        <v>2291700</v>
      </c>
      <c r="D41" s="313">
        <f>H41+J41+L41+N41+P41+R41+T41+V41+X41+Z41+AB41</f>
        <v>2291700</v>
      </c>
      <c r="E41" s="313">
        <f t="shared" si="5"/>
        <v>0</v>
      </c>
      <c r="F41" s="314">
        <f t="shared" si="15"/>
        <v>864515.12</v>
      </c>
      <c r="G41" s="315">
        <f t="shared" si="13"/>
        <v>0</v>
      </c>
      <c r="H41" s="119"/>
      <c r="I41" s="119"/>
      <c r="J41" s="119"/>
      <c r="K41" s="119"/>
      <c r="L41" s="329"/>
      <c r="M41" s="120"/>
      <c r="N41" s="329"/>
      <c r="O41" s="329"/>
      <c r="P41" s="329"/>
      <c r="Q41" s="329"/>
      <c r="R41" s="329"/>
      <c r="S41" s="329">
        <v>864515.12</v>
      </c>
      <c r="T41" s="329"/>
      <c r="U41" s="329"/>
      <c r="V41" s="329"/>
      <c r="W41" s="329"/>
      <c r="X41" s="329">
        <v>2291700</v>
      </c>
      <c r="Y41" s="329"/>
      <c r="Z41" s="329"/>
      <c r="AA41" s="329"/>
      <c r="AB41" s="329"/>
      <c r="AC41" s="372"/>
      <c r="AD41" s="319">
        <f>C41-D41</f>
        <v>0</v>
      </c>
      <c r="AE41" s="319">
        <f>D41-W41-Y41</f>
        <v>2291700</v>
      </c>
      <c r="AF41" s="371"/>
      <c r="AG41" s="319"/>
    </row>
    <row r="42" spans="1:33" x14ac:dyDescent="0.25">
      <c r="E42" s="313"/>
    </row>
    <row r="43" spans="1:33" ht="23.25" customHeight="1" x14ac:dyDescent="0.25">
      <c r="E43" s="313"/>
      <c r="F43" s="338"/>
      <c r="V43" s="289"/>
      <c r="W43" s="779"/>
      <c r="X43" s="779"/>
      <c r="Y43" s="779"/>
      <c r="Z43" s="289"/>
    </row>
    <row r="44" spans="1:33" ht="23.25" customHeight="1" x14ac:dyDescent="0.25">
      <c r="A44" s="339" t="s">
        <v>289</v>
      </c>
      <c r="B44" s="307"/>
      <c r="C44" s="733">
        <f>C7+C15+C21+C23+C27+C29+C33+C37</f>
        <v>1327893800</v>
      </c>
      <c r="D44" s="308">
        <f>D7+D15+D21+D23+D27+D29+D33+D37</f>
        <v>1327893800</v>
      </c>
      <c r="E44" s="308">
        <f>E7+E15+E21+E23+E27+E29+E33+E37</f>
        <v>49168277.109999992</v>
      </c>
      <c r="F44" s="778">
        <f>F7+F15+F21+F23+F27+F29+F33+F37</f>
        <v>954239835.07000005</v>
      </c>
      <c r="G44" s="341"/>
      <c r="H44" s="341"/>
      <c r="I44" s="289"/>
      <c r="J44" s="289"/>
      <c r="K44" s="341"/>
      <c r="L44" s="341"/>
      <c r="M44" s="341"/>
      <c r="V44" s="289"/>
      <c r="W44" s="779"/>
      <c r="X44" s="779"/>
      <c r="Y44" s="779"/>
      <c r="Z44" s="289"/>
    </row>
    <row r="45" spans="1:33" ht="23.25" customHeight="1" x14ac:dyDescent="0.25">
      <c r="E45" s="313"/>
    </row>
    <row r="46" spans="1:33" ht="84" customHeight="1" x14ac:dyDescent="0.25">
      <c r="A46" s="54" t="s">
        <v>40</v>
      </c>
      <c r="B46" s="23" t="s">
        <v>290</v>
      </c>
      <c r="C46" s="734">
        <v>17454300</v>
      </c>
      <c r="D46" s="735">
        <f>H46+J46+L46+N46+P46+R46+T46+V46+X46+Z46+AB46</f>
        <v>17454299.940000001</v>
      </c>
      <c r="E46" s="735">
        <f t="shared" si="5"/>
        <v>5.9999998658895493E-2</v>
      </c>
      <c r="F46" s="747">
        <f>I46+K46+M46+O46+Q46+S46+U46+W46+Y46+AA46+AC46</f>
        <v>17454300</v>
      </c>
      <c r="G46" s="124"/>
      <c r="H46" s="124"/>
      <c r="I46" s="124"/>
      <c r="J46" s="119"/>
      <c r="K46" s="135">
        <f>'Бюдж роспись КБ'!V141</f>
        <v>11597726.710000001</v>
      </c>
      <c r="L46" s="119"/>
      <c r="M46" s="119">
        <f>'Бюдж роспись КБ'!Z141</f>
        <v>3847683.26</v>
      </c>
      <c r="N46" s="625">
        <v>12749213.23</v>
      </c>
      <c r="O46" s="119">
        <f>'Бюдж роспись КБ'!AD141</f>
        <v>2008890.03</v>
      </c>
      <c r="P46" s="625">
        <v>1191997.17</v>
      </c>
      <c r="Q46" s="444">
        <f>'Бюдж роспись КБ'!AH141</f>
        <v>0</v>
      </c>
      <c r="R46" s="625">
        <v>1231896.58</v>
      </c>
      <c r="S46" s="119">
        <f>'Бюдж роспись КБ'!AL141</f>
        <v>0</v>
      </c>
      <c r="T46" s="625">
        <v>1144617.3999999999</v>
      </c>
      <c r="U46" s="119">
        <f>'Бюдж роспись КБ'!AP141</f>
        <v>0</v>
      </c>
      <c r="V46" s="625">
        <v>1126753.21</v>
      </c>
      <c r="W46" s="119">
        <f>'Бюдж роспись КБ'!AT141</f>
        <v>0</v>
      </c>
      <c r="X46" s="625">
        <v>9822.35</v>
      </c>
      <c r="Y46" s="119">
        <f>'Бюдж роспись КБ'!AX141</f>
        <v>0</v>
      </c>
      <c r="Z46" s="625"/>
      <c r="AA46" s="119">
        <f>'Бюдж роспись КБ'!BB141</f>
        <v>0</v>
      </c>
      <c r="AB46" s="119"/>
      <c r="AC46" s="119">
        <f>'Бюдж роспись КБ'!BG141</f>
        <v>0</v>
      </c>
    </row>
    <row r="47" spans="1:33" ht="23.25" customHeight="1" x14ac:dyDescent="0.25">
      <c r="D47" s="340"/>
      <c r="E47" s="340"/>
      <c r="F47" s="341"/>
      <c r="G47" s="341"/>
      <c r="H47" s="341"/>
      <c r="I47" s="289"/>
      <c r="J47" s="289"/>
      <c r="K47" s="342"/>
      <c r="L47" s="343"/>
      <c r="M47" s="342"/>
      <c r="N47" s="343"/>
      <c r="O47" s="342"/>
      <c r="P47" s="343"/>
      <c r="Q47" s="342"/>
      <c r="R47" s="343"/>
      <c r="S47" s="342"/>
      <c r="T47" s="343"/>
      <c r="U47" s="342"/>
      <c r="V47" s="343"/>
      <c r="W47" s="343"/>
      <c r="X47" s="343"/>
      <c r="Y47" s="343"/>
      <c r="Z47" s="343"/>
      <c r="AA47" s="343"/>
      <c r="AB47" s="343"/>
      <c r="AC47" s="286"/>
    </row>
    <row r="48" spans="1:33" s="293" customFormat="1" x14ac:dyDescent="0.25">
      <c r="C48" s="755" t="s">
        <v>289</v>
      </c>
      <c r="D48" s="309">
        <f>H48+J48+L48+N48+P48+R48+T48+V48+X48+Z48+AB48</f>
        <v>1327893800</v>
      </c>
      <c r="E48" s="309"/>
      <c r="F48" s="339"/>
      <c r="G48" s="339"/>
      <c r="H48" s="756">
        <f>H7+H15+H21+H23+H37</f>
        <v>0</v>
      </c>
      <c r="I48" s="756">
        <f>I7+I15+I21+I23+I37</f>
        <v>0</v>
      </c>
      <c r="J48" s="756">
        <f>J7+J15+J21+J23+J27+J29+J33+J37</f>
        <v>6449140</v>
      </c>
      <c r="K48" s="756">
        <f t="shared" ref="K48:AB48" si="16">K7+K15+K21+K23+K27+K29+K33+K37</f>
        <v>157171365.57999998</v>
      </c>
      <c r="L48" s="756">
        <f t="shared" si="16"/>
        <v>357418180</v>
      </c>
      <c r="M48" s="756">
        <f t="shared" si="16"/>
        <v>532621119.59000003</v>
      </c>
      <c r="N48" s="756">
        <f t="shared" si="16"/>
        <v>58078028.32</v>
      </c>
      <c r="O48" s="756">
        <f t="shared" si="16"/>
        <v>117907810.10999998</v>
      </c>
      <c r="P48" s="756">
        <f t="shared" si="16"/>
        <v>271403467.10000002</v>
      </c>
      <c r="Q48" s="756">
        <f t="shared" si="16"/>
        <v>22496122.009999998</v>
      </c>
      <c r="R48" s="756">
        <f t="shared" si="16"/>
        <v>216004.7</v>
      </c>
      <c r="S48" s="756">
        <f>S7+S15+S21+S23+S27+S29+S31+S33+S37</f>
        <v>124043417.78</v>
      </c>
      <c r="T48" s="756">
        <f t="shared" si="16"/>
        <v>139013072.43000001</v>
      </c>
      <c r="U48" s="756">
        <f t="shared" si="16"/>
        <v>0</v>
      </c>
      <c r="V48" s="756">
        <f t="shared" si="16"/>
        <v>11044702.639999999</v>
      </c>
      <c r="W48" s="756">
        <f t="shared" si="16"/>
        <v>0</v>
      </c>
      <c r="X48" s="756">
        <f t="shared" si="16"/>
        <v>194088434.76999998</v>
      </c>
      <c r="Y48" s="756">
        <f t="shared" si="16"/>
        <v>0</v>
      </c>
      <c r="Z48" s="756">
        <f t="shared" si="16"/>
        <v>27030772.780000001</v>
      </c>
      <c r="AA48" s="756">
        <f t="shared" si="16"/>
        <v>0</v>
      </c>
      <c r="AB48" s="756">
        <f t="shared" si="16"/>
        <v>263151997.25999999</v>
      </c>
      <c r="AC48" s="756" t="e">
        <f>AC7+AC15+#REF!+AC21+AC23+#REF!+#REF!+AC27+AC29+AC37</f>
        <v>#REF!</v>
      </c>
      <c r="AD48" s="294"/>
      <c r="AE48" s="294"/>
      <c r="AF48" s="467"/>
      <c r="AG48" s="294"/>
    </row>
    <row r="49" spans="1:32" s="286" customFormat="1" x14ac:dyDescent="0.25">
      <c r="B49" s="145"/>
      <c r="C49" s="145"/>
      <c r="D49" s="344"/>
      <c r="E49" s="344"/>
      <c r="F49" s="335"/>
      <c r="G49" s="335"/>
      <c r="H49" s="335"/>
      <c r="I49" s="335"/>
      <c r="J49" s="335"/>
      <c r="K49" s="121"/>
      <c r="L49" s="121"/>
      <c r="M49" s="121"/>
      <c r="N49" s="121"/>
      <c r="O49" s="121"/>
      <c r="P49" s="121"/>
      <c r="Q49" s="121"/>
      <c r="R49" s="121"/>
      <c r="S49" s="121"/>
      <c r="T49" s="121"/>
      <c r="U49" s="121"/>
      <c r="V49" s="121"/>
      <c r="W49" s="121"/>
      <c r="X49" s="121"/>
      <c r="Y49" s="121"/>
      <c r="Z49" s="121"/>
      <c r="AA49" s="121"/>
      <c r="AB49" s="121"/>
      <c r="AC49" s="121"/>
      <c r="AF49" s="289"/>
    </row>
    <row r="50" spans="1:32" s="286" customFormat="1" x14ac:dyDescent="0.25">
      <c r="B50" s="145"/>
      <c r="C50" s="145"/>
      <c r="D50" s="345" t="s">
        <v>291</v>
      </c>
      <c r="E50" s="345"/>
      <c r="F50" s="346"/>
      <c r="G50" s="346"/>
      <c r="H50" s="347"/>
      <c r="I50" s="347"/>
      <c r="J50" s="347">
        <f>6449140+38828093.6+111894132</f>
        <v>157171365.59999999</v>
      </c>
      <c r="K50" s="347"/>
      <c r="L50" s="347">
        <f>357418180+175251791.37</f>
        <v>532669971.37</v>
      </c>
      <c r="M50" s="347"/>
      <c r="N50" s="347">
        <f>64578028.32+53329781.76</f>
        <v>117907810.08</v>
      </c>
      <c r="O50" s="347"/>
      <c r="P50" s="347">
        <f>166166336.85-32249293.09</f>
        <v>133917043.75999999</v>
      </c>
      <c r="Q50" s="347"/>
      <c r="R50" s="347">
        <f>35029609.78+127465587.25</f>
        <v>162495197.03</v>
      </c>
      <c r="S50" s="347"/>
      <c r="T50" s="348"/>
      <c r="U50" s="347"/>
      <c r="V50" s="348"/>
      <c r="W50" s="347"/>
      <c r="X50" s="348"/>
      <c r="Y50" s="347"/>
      <c r="Z50" s="348"/>
      <c r="AA50" s="347"/>
      <c r="AB50" s="347"/>
      <c r="AC50" s="347"/>
      <c r="AD50" s="320">
        <f>SUM(H50:AB50)</f>
        <v>1104161387.8400002</v>
      </c>
      <c r="AF50" s="289"/>
    </row>
    <row r="51" spans="1:32" s="286" customFormat="1" x14ac:dyDescent="0.25">
      <c r="B51" s="145"/>
      <c r="C51" s="145"/>
      <c r="D51" s="344" t="s">
        <v>292</v>
      </c>
      <c r="E51" s="344"/>
      <c r="F51" s="335"/>
      <c r="G51" s="335"/>
      <c r="H51" s="121"/>
      <c r="I51" s="121" t="e">
        <f>H50-I48+#REF!</f>
        <v>#REF!</v>
      </c>
      <c r="J51" s="121"/>
      <c r="K51" s="121">
        <f>J50-K48</f>
        <v>2.000001072883606E-2</v>
      </c>
      <c r="L51" s="121"/>
      <c r="M51" s="121">
        <f>L50-M48</f>
        <v>48851.77999997139</v>
      </c>
      <c r="N51" s="121"/>
      <c r="O51" s="121">
        <f>M51+N50-O48</f>
        <v>48851.749999985099</v>
      </c>
      <c r="P51" s="121"/>
      <c r="Q51" s="121"/>
      <c r="R51" s="121"/>
      <c r="S51" s="121"/>
      <c r="T51" s="121"/>
      <c r="U51" s="121"/>
      <c r="V51" s="121"/>
      <c r="W51" s="121"/>
      <c r="X51" s="121"/>
      <c r="Y51" s="121"/>
      <c r="Z51" s="121"/>
      <c r="AA51" s="121"/>
      <c r="AB51" s="121"/>
      <c r="AC51" s="121"/>
      <c r="AF51" s="289"/>
    </row>
    <row r="52" spans="1:32" s="349" customFormat="1" ht="18.75" x14ac:dyDescent="0.3">
      <c r="B52" s="350"/>
      <c r="C52" s="350"/>
      <c r="D52" s="351"/>
      <c r="E52" s="351"/>
      <c r="F52" s="352"/>
      <c r="G52" s="352"/>
      <c r="H52" s="355"/>
      <c r="I52" s="352"/>
      <c r="J52" s="352"/>
      <c r="K52" s="353"/>
      <c r="L52" s="353"/>
      <c r="M52" s="353"/>
      <c r="N52" s="354"/>
      <c r="P52" s="352"/>
      <c r="Q52" s="354">
        <f>P50-Q48+O51</f>
        <v>111469773.49999999</v>
      </c>
      <c r="R52" s="352"/>
      <c r="S52" s="445">
        <f>R50-S48</f>
        <v>38451779.25</v>
      </c>
      <c r="T52" s="352"/>
      <c r="U52" s="354">
        <f>T50+S52-U48</f>
        <v>38451779.25</v>
      </c>
      <c r="V52" s="353"/>
      <c r="W52" s="354">
        <f>V50+U52-W48</f>
        <v>38451779.25</v>
      </c>
      <c r="X52" s="353"/>
      <c r="Y52" s="354">
        <f>X50-Y48</f>
        <v>0</v>
      </c>
      <c r="Z52" s="352"/>
      <c r="AA52" s="355">
        <f>Z50-AA48</f>
        <v>0</v>
      </c>
      <c r="AB52" s="352"/>
      <c r="AC52" s="355" t="e">
        <f>AB50-AC48</f>
        <v>#REF!</v>
      </c>
      <c r="AF52" s="469"/>
    </row>
    <row r="53" spans="1:32" s="286" customFormat="1" x14ac:dyDescent="0.25">
      <c r="B53" s="145"/>
      <c r="C53" s="145"/>
      <c r="D53" s="145"/>
      <c r="E53" s="145"/>
      <c r="O53" s="135"/>
      <c r="AF53" s="289"/>
    </row>
    <row r="54" spans="1:32" s="286" customFormat="1" x14ac:dyDescent="0.25">
      <c r="B54" s="145"/>
      <c r="C54" s="145"/>
      <c r="D54" s="145"/>
      <c r="E54" s="145"/>
      <c r="AF54" s="289"/>
    </row>
    <row r="55" spans="1:32" s="286" customFormat="1" x14ac:dyDescent="0.25">
      <c r="B55" s="145"/>
      <c r="C55" s="145"/>
      <c r="D55" s="145"/>
      <c r="E55" s="145"/>
      <c r="AF55" s="289"/>
    </row>
    <row r="56" spans="1:32" s="286" customFormat="1" x14ac:dyDescent="0.25">
      <c r="B56" s="145"/>
      <c r="C56" s="145"/>
      <c r="D56" s="356" t="s">
        <v>293</v>
      </c>
      <c r="E56" s="356"/>
      <c r="F56" s="356"/>
      <c r="G56" s="356"/>
      <c r="H56" s="347"/>
      <c r="I56" s="356"/>
      <c r="J56" s="456">
        <v>11597726.710000001</v>
      </c>
      <c r="K56" s="356"/>
      <c r="L56" s="455">
        <v>5856573.29</v>
      </c>
      <c r="M56" s="356"/>
      <c r="N56" s="348"/>
      <c r="O56" s="357"/>
      <c r="P56" s="455"/>
      <c r="Q56" s="356"/>
      <c r="R56" s="457"/>
      <c r="S56" s="356"/>
      <c r="T56" s="457"/>
      <c r="U56" s="356"/>
      <c r="V56" s="348"/>
      <c r="W56" s="356"/>
      <c r="X56" s="348"/>
      <c r="Y56" s="356"/>
      <c r="Z56" s="356"/>
      <c r="AA56" s="356"/>
      <c r="AB56" s="356"/>
      <c r="AC56" s="356"/>
      <c r="AF56" s="289"/>
    </row>
    <row r="57" spans="1:32" s="286" customFormat="1" x14ac:dyDescent="0.25">
      <c r="B57" s="145"/>
      <c r="C57" s="145"/>
      <c r="D57" s="344" t="s">
        <v>292</v>
      </c>
      <c r="E57" s="344"/>
      <c r="F57" s="344"/>
      <c r="G57" s="344"/>
      <c r="H57" s="344"/>
      <c r="I57" s="344"/>
      <c r="J57" s="344"/>
      <c r="K57" s="329">
        <f>H56+J56-K46</f>
        <v>0</v>
      </c>
      <c r="L57" s="121"/>
      <c r="M57" s="329">
        <f>L56-M46</f>
        <v>2008890.0300000003</v>
      </c>
      <c r="N57" s="344"/>
      <c r="O57" s="329">
        <f>M57+N56-O46</f>
        <v>0</v>
      </c>
      <c r="P57" s="344"/>
      <c r="Q57" s="329">
        <f>O57+P56-Q46</f>
        <v>0</v>
      </c>
      <c r="R57" s="344"/>
      <c r="S57" s="329">
        <f>R56-S46</f>
        <v>0</v>
      </c>
      <c r="T57" s="344"/>
      <c r="U57" s="329">
        <f>S57-U46</f>
        <v>0</v>
      </c>
      <c r="V57" s="344"/>
      <c r="W57" s="121">
        <f>R56-S46+T56-U46+V56-W46</f>
        <v>0</v>
      </c>
      <c r="X57" s="344"/>
      <c r="Y57" s="329">
        <f>X56-Y46</f>
        <v>0</v>
      </c>
      <c r="Z57" s="344"/>
      <c r="AA57" s="344"/>
      <c r="AB57" s="344"/>
      <c r="AC57" s="344"/>
      <c r="AF57" s="289"/>
    </row>
    <row r="58" spans="1:32" s="286" customFormat="1" x14ac:dyDescent="0.25">
      <c r="B58" s="145"/>
      <c r="C58" s="145"/>
      <c r="D58" s="344"/>
      <c r="E58" s="344"/>
      <c r="F58" s="335"/>
      <c r="G58" s="335"/>
      <c r="H58" s="335"/>
      <c r="I58" s="335"/>
      <c r="J58" s="335"/>
      <c r="K58" s="335"/>
      <c r="L58" s="335"/>
      <c r="M58" s="335"/>
      <c r="N58" s="335"/>
      <c r="O58" s="335"/>
      <c r="P58" s="335"/>
      <c r="Q58" s="354"/>
      <c r="R58" s="335"/>
      <c r="S58" s="335"/>
      <c r="T58" s="335"/>
      <c r="U58" s="335"/>
      <c r="V58" s="335"/>
      <c r="X58" s="335"/>
      <c r="Y58" s="335"/>
      <c r="Z58" s="335"/>
      <c r="AA58" s="335"/>
      <c r="AB58" s="335"/>
      <c r="AC58" s="354">
        <f>X56-Y46+Z56-AA46+AB56-AC46</f>
        <v>0</v>
      </c>
      <c r="AF58" s="289"/>
    </row>
    <row r="59" spans="1:32" x14ac:dyDescent="0.25">
      <c r="O59" s="338"/>
      <c r="Q59" s="338"/>
    </row>
    <row r="60" spans="1:32" ht="18.75" x14ac:dyDescent="0.3">
      <c r="A60" s="358" t="s">
        <v>294</v>
      </c>
      <c r="Q60" s="341"/>
      <c r="W60" s="286"/>
      <c r="X60" s="286"/>
      <c r="Y60" s="286"/>
      <c r="AA60" s="286"/>
    </row>
    <row r="61" spans="1:32" ht="18.75" x14ac:dyDescent="0.25">
      <c r="B61" s="341"/>
      <c r="C61" s="359"/>
      <c r="D61" s="341"/>
      <c r="E61" s="341"/>
      <c r="Q61" s="342"/>
      <c r="W61" s="286"/>
      <c r="X61" s="286"/>
      <c r="Y61" s="286"/>
      <c r="AA61" s="286"/>
    </row>
    <row r="62" spans="1:32" ht="18.75" x14ac:dyDescent="0.25">
      <c r="B62" s="341"/>
      <c r="C62" s="359"/>
      <c r="D62" s="341"/>
      <c r="E62" s="341"/>
    </row>
    <row r="63" spans="1:32" ht="18.75" x14ac:dyDescent="0.25">
      <c r="B63" s="341"/>
      <c r="C63" s="360"/>
      <c r="D63" s="341"/>
      <c r="E63" s="341"/>
    </row>
    <row r="64" spans="1:32" ht="16.5" x14ac:dyDescent="0.25">
      <c r="B64" s="341"/>
      <c r="C64" s="5"/>
      <c r="D64" s="341"/>
      <c r="E64" s="341"/>
    </row>
    <row r="65" spans="2:5" x14ac:dyDescent="0.25">
      <c r="B65" s="361"/>
      <c r="C65" s="340"/>
      <c r="D65" s="340"/>
      <c r="E65" s="340"/>
    </row>
  </sheetData>
  <mergeCells count="23">
    <mergeCell ref="L4:Q4"/>
    <mergeCell ref="R4:W4"/>
    <mergeCell ref="X4:AC4"/>
    <mergeCell ref="AD4:AD5"/>
    <mergeCell ref="H5:I5"/>
    <mergeCell ref="J5:K5"/>
    <mergeCell ref="L5:M5"/>
    <mergeCell ref="N5:O5"/>
    <mergeCell ref="P5:Q5"/>
    <mergeCell ref="R5:S5"/>
    <mergeCell ref="T5:U5"/>
    <mergeCell ref="V5:W5"/>
    <mergeCell ref="X5:Y5"/>
    <mergeCell ref="Z5:AA5"/>
    <mergeCell ref="AB5:AC5"/>
    <mergeCell ref="A1:K1"/>
    <mergeCell ref="A4:A6"/>
    <mergeCell ref="B4:B6"/>
    <mergeCell ref="C4:C6"/>
    <mergeCell ref="D4:D6"/>
    <mergeCell ref="F4:F6"/>
    <mergeCell ref="G4:G6"/>
    <mergeCell ref="E4:E6"/>
  </mergeCells>
  <pageMargins left="0.39370078740157483" right="0.19685039370078741" top="0.39370078740157483" bottom="0.39370078740157483" header="0.27559055118110237" footer="0.51181102362204722"/>
  <pageSetup paperSize="9" scale="6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P49"/>
  <sheetViews>
    <sheetView showZeros="0" view="pageBreakPreview" zoomScale="85" zoomScaleNormal="85" zoomScaleSheetLayoutView="85" workbookViewId="0">
      <pane xSplit="1" ySplit="5" topLeftCell="B24" activePane="bottomRight" state="frozen"/>
      <selection pane="topRight" activeCell="B1" sqref="B1"/>
      <selection pane="bottomLeft" activeCell="A6" sqref="A6"/>
      <selection pane="bottomRight" activeCell="C34" sqref="C34"/>
    </sheetView>
  </sheetViews>
  <sheetFormatPr defaultColWidth="9.140625" defaultRowHeight="15.75" x14ac:dyDescent="0.25"/>
  <cols>
    <col min="1" max="1" width="38" style="363" customWidth="1"/>
    <col min="2" max="2" width="14.5703125" style="363" customWidth="1"/>
    <col min="3" max="3" width="14" style="363" customWidth="1"/>
    <col min="4" max="4" width="12.42578125" style="363" customWidth="1"/>
    <col min="5" max="5" width="14.140625" style="363" customWidth="1"/>
    <col min="6" max="7" width="15" style="363" customWidth="1"/>
    <col min="8" max="8" width="13.5703125" style="363" customWidth="1"/>
    <col min="9" max="9" width="12.28515625" style="363" customWidth="1"/>
    <col min="10" max="10" width="13.42578125" style="363" customWidth="1"/>
    <col min="11" max="11" width="14.42578125" style="363" customWidth="1"/>
    <col min="16" max="16" width="13.5703125" style="363" customWidth="1"/>
    <col min="17" max="16384" width="9.140625" style="363"/>
  </cols>
  <sheetData>
    <row r="1" spans="1:16" ht="18.75" x14ac:dyDescent="0.3">
      <c r="A1" s="1202" t="s">
        <v>354</v>
      </c>
      <c r="B1" s="1202"/>
      <c r="C1" s="1202"/>
      <c r="D1" s="1202"/>
      <c r="E1" s="1202"/>
      <c r="F1" s="1202"/>
      <c r="G1" s="1202"/>
      <c r="H1" s="1202"/>
      <c r="I1" s="1202"/>
      <c r="J1" s="1202"/>
      <c r="K1" s="1202"/>
    </row>
    <row r="3" spans="1:16" ht="16.5" thickBot="1" x14ac:dyDescent="0.3">
      <c r="K3" s="385" t="s">
        <v>56</v>
      </c>
    </row>
    <row r="4" spans="1:16" s="71" customFormat="1" ht="26.25" customHeight="1" x14ac:dyDescent="0.25">
      <c r="A4" s="1206" t="s">
        <v>355</v>
      </c>
      <c r="B4" s="1212" t="s">
        <v>356</v>
      </c>
      <c r="C4" s="1213"/>
      <c r="D4" s="1213"/>
      <c r="E4" s="1213"/>
      <c r="F4" s="1213"/>
      <c r="G4" s="1207" t="s">
        <v>357</v>
      </c>
      <c r="H4" s="1208"/>
      <c r="I4" s="1208"/>
      <c r="J4" s="1208"/>
      <c r="K4" s="1209"/>
    </row>
    <row r="5" spans="1:16" s="71" customFormat="1" ht="58.5" customHeight="1" x14ac:dyDescent="0.25">
      <c r="A5" s="1206"/>
      <c r="B5" s="386" t="s">
        <v>358</v>
      </c>
      <c r="C5" s="865" t="s">
        <v>59</v>
      </c>
      <c r="D5" s="387" t="s">
        <v>359</v>
      </c>
      <c r="E5" s="387" t="s">
        <v>360</v>
      </c>
      <c r="F5" s="388" t="s">
        <v>361</v>
      </c>
      <c r="G5" s="386" t="s">
        <v>406</v>
      </c>
      <c r="H5" s="387" t="s">
        <v>59</v>
      </c>
      <c r="I5" s="387" t="s">
        <v>359</v>
      </c>
      <c r="J5" s="387" t="s">
        <v>360</v>
      </c>
      <c r="K5" s="458" t="s">
        <v>361</v>
      </c>
    </row>
    <row r="6" spans="1:16" s="393" customFormat="1" ht="12.75" x14ac:dyDescent="0.2">
      <c r="A6" s="389">
        <v>1</v>
      </c>
      <c r="B6" s="390">
        <v>2</v>
      </c>
      <c r="C6" s="391">
        <v>3</v>
      </c>
      <c r="D6" s="391">
        <v>4</v>
      </c>
      <c r="E6" s="391">
        <v>5</v>
      </c>
      <c r="F6" s="392">
        <v>6</v>
      </c>
      <c r="G6" s="390">
        <v>7</v>
      </c>
      <c r="H6" s="391">
        <v>8</v>
      </c>
      <c r="I6" s="391">
        <v>9</v>
      </c>
      <c r="J6" s="391">
        <v>10</v>
      </c>
      <c r="K6" s="459">
        <v>11</v>
      </c>
    </row>
    <row r="7" spans="1:16" s="71" customFormat="1" ht="28.5" customHeight="1" x14ac:dyDescent="0.25">
      <c r="A7" s="1210" t="s">
        <v>362</v>
      </c>
      <c r="B7" s="1211"/>
      <c r="C7" s="1211"/>
      <c r="D7" s="1211"/>
      <c r="E7" s="1211"/>
      <c r="F7" s="1211"/>
      <c r="G7" s="1211"/>
      <c r="H7" s="1211"/>
      <c r="I7" s="1211"/>
      <c r="J7" s="464"/>
      <c r="K7" s="464"/>
    </row>
    <row r="8" spans="1:16" ht="47.25" x14ac:dyDescent="0.25">
      <c r="A8" s="394" t="s">
        <v>363</v>
      </c>
      <c r="B8" s="406">
        <f>SUM(B9:B14)</f>
        <v>510129.5</v>
      </c>
      <c r="C8" s="407">
        <f>SUM(C9:C14)</f>
        <v>456525.50818000006</v>
      </c>
      <c r="D8" s="407">
        <f t="shared" ref="D8:D20" si="0">C8/B8*100</f>
        <v>89.492081555761843</v>
      </c>
      <c r="E8" s="407" t="e">
        <f>SUM(E9:E14)</f>
        <v>#REF!</v>
      </c>
      <c r="F8" s="408" t="e">
        <f t="shared" ref="F8:F20" si="1">E8/B8*100</f>
        <v>#REF!</v>
      </c>
      <c r="G8" s="406">
        <f>SUM(G9:G14)</f>
        <v>208362.75352999999</v>
      </c>
      <c r="H8" s="407">
        <f>SUM(H9:H14)</f>
        <v>186468.16535</v>
      </c>
      <c r="I8" s="407">
        <f>H8/G8*100</f>
        <v>89.492081569728526</v>
      </c>
      <c r="J8" s="407" t="e">
        <f>SUM(J9:J14)</f>
        <v>#REF!</v>
      </c>
      <c r="K8" s="460" t="e">
        <f>J8/G8*100</f>
        <v>#REF!</v>
      </c>
      <c r="P8" s="395"/>
    </row>
    <row r="9" spans="1:16" ht="16.5" customHeight="1" x14ac:dyDescent="0.25">
      <c r="A9" s="396" t="s">
        <v>278</v>
      </c>
      <c r="B9" s="409">
        <f>'КБ+ФБ по соглашению'!H10/1000</f>
        <v>110477.2</v>
      </c>
      <c r="C9" s="410">
        <f>('Бюдж роспись КБ'!K67+'Бюдж роспись КБ'!K68)/1000</f>
        <v>110477.19951999999</v>
      </c>
      <c r="D9" s="410">
        <f t="shared" si="0"/>
        <v>99.999999565521208</v>
      </c>
      <c r="E9" s="410" t="e">
        <f>край!#REF!</f>
        <v>#REF!</v>
      </c>
      <c r="F9" s="411" t="e">
        <f t="shared" si="1"/>
        <v>#REF!</v>
      </c>
      <c r="G9" s="409">
        <f>'КБ+ФБ по соглашению'!H9/1000</f>
        <v>45124.490140000002</v>
      </c>
      <c r="H9" s="410">
        <f>('Бюдж роспись КБ'!K65+'Бюдж роспись КБ'!K66)/1000</f>
        <v>45124.489970000002</v>
      </c>
      <c r="I9" s="410">
        <f>H9/G9*100</f>
        <v>99.999999623264443</v>
      </c>
      <c r="J9" s="410" t="e">
        <f>край!#REF!</f>
        <v>#REF!</v>
      </c>
      <c r="K9" s="461" t="e">
        <f t="shared" ref="K9:K35" si="2">J9/G9*100</f>
        <v>#REF!</v>
      </c>
    </row>
    <row r="10" spans="1:16" ht="16.5" customHeight="1" x14ac:dyDescent="0.25">
      <c r="A10" s="396" t="s">
        <v>364</v>
      </c>
      <c r="B10" s="409">
        <f>'КБ+ФБ по соглашению'!H13/1000</f>
        <v>47858.335220000001</v>
      </c>
      <c r="C10" s="410">
        <f>('Бюдж роспись КБ'!K71+'Бюдж роспись КБ'!K72)/1000</f>
        <v>47858.335220000008</v>
      </c>
      <c r="D10" s="410">
        <f t="shared" si="0"/>
        <v>100.00000000000003</v>
      </c>
      <c r="E10" s="410" t="e">
        <f>край!#REF!</f>
        <v>#REF!</v>
      </c>
      <c r="F10" s="411" t="e">
        <f t="shared" si="1"/>
        <v>#REF!</v>
      </c>
      <c r="G10" s="409">
        <f>'КБ+ФБ по соглашению'!H12/1000</f>
        <v>19547.77072</v>
      </c>
      <c r="H10" s="410">
        <f>край!P53</f>
        <v>19547.770720000004</v>
      </c>
      <c r="I10" s="410">
        <f t="shared" ref="I10:I19" si="3">H10/G10*100</f>
        <v>100.00000000000003</v>
      </c>
      <c r="J10" s="410" t="e">
        <f>край!#REF!</f>
        <v>#REF!</v>
      </c>
      <c r="K10" s="461" t="e">
        <f t="shared" si="2"/>
        <v>#REF!</v>
      </c>
    </row>
    <row r="11" spans="1:16" ht="31.5" x14ac:dyDescent="0.25">
      <c r="A11" s="396" t="s">
        <v>365</v>
      </c>
      <c r="B11" s="409">
        <f>'КБ+ФБ по соглашению'!H16/1000</f>
        <v>121409.60000000001</v>
      </c>
      <c r="C11" s="410">
        <f>'Бюдж роспись КБ'!K74/1000</f>
        <v>121409.54182</v>
      </c>
      <c r="D11" s="410">
        <f t="shared" si="0"/>
        <v>99.999952079571955</v>
      </c>
      <c r="E11" s="410" t="e">
        <f>край!#REF!</f>
        <v>#REF!</v>
      </c>
      <c r="F11" s="411" t="e">
        <f t="shared" si="1"/>
        <v>#REF!</v>
      </c>
      <c r="G11" s="409">
        <f>'КБ+ФБ по соглашению'!H15/1000</f>
        <v>49589.836619999995</v>
      </c>
      <c r="H11" s="410">
        <f>край!P56</f>
        <v>49589.812859999998</v>
      </c>
      <c r="I11" s="410">
        <f t="shared" si="3"/>
        <v>99.999952086956483</v>
      </c>
      <c r="J11" s="410" t="e">
        <f>край!#REF!</f>
        <v>#REF!</v>
      </c>
      <c r="K11" s="461" t="e">
        <f t="shared" si="2"/>
        <v>#REF!</v>
      </c>
    </row>
    <row r="12" spans="1:16" ht="16.5" customHeight="1" x14ac:dyDescent="0.25">
      <c r="A12" s="396" t="s">
        <v>281</v>
      </c>
      <c r="B12" s="409">
        <f>'КБ+ФБ по соглашению'!H19/1000</f>
        <v>152904.05478000001</v>
      </c>
      <c r="C12" s="410">
        <f>край!P60</f>
        <v>147243.93005000002</v>
      </c>
      <c r="D12" s="410">
        <f t="shared" si="0"/>
        <v>96.298250731058872</v>
      </c>
      <c r="E12" s="410" t="e">
        <f>край!#REF!</f>
        <v>#REF!</v>
      </c>
      <c r="F12" s="411" t="e">
        <f t="shared" si="1"/>
        <v>#REF!</v>
      </c>
      <c r="G12" s="409">
        <f>'КБ+ФБ по соглашению'!H18/1000</f>
        <v>62453.768859999996</v>
      </c>
      <c r="H12" s="410">
        <f>край!P59</f>
        <v>60141.886929999993</v>
      </c>
      <c r="I12" s="410">
        <f t="shared" si="3"/>
        <v>96.298250734583448</v>
      </c>
      <c r="J12" s="410" t="e">
        <f>край!#REF!</f>
        <v>#REF!</v>
      </c>
      <c r="K12" s="461" t="e">
        <f t="shared" si="2"/>
        <v>#REF!</v>
      </c>
    </row>
    <row r="13" spans="1:16" x14ac:dyDescent="0.25">
      <c r="A13" s="396" t="s">
        <v>372</v>
      </c>
      <c r="B13" s="409">
        <f>'КБ+ФБ по соглашению'!H22/1000</f>
        <v>54134.41</v>
      </c>
      <c r="C13" s="410">
        <f>край!P63</f>
        <v>6190.6015700000007</v>
      </c>
      <c r="D13" s="410">
        <f t="shared" si="0"/>
        <v>11.435612893906114</v>
      </c>
      <c r="E13" s="410" t="e">
        <f>край!#REF!</f>
        <v>#REF!</v>
      </c>
      <c r="F13" s="411" t="e">
        <f t="shared" si="1"/>
        <v>#REF!</v>
      </c>
      <c r="G13" s="409">
        <f>'КБ+ФБ по соглашению'!H21/1000</f>
        <v>22111.23789</v>
      </c>
      <c r="H13" s="410">
        <f>край!P62</f>
        <v>2528.55557</v>
      </c>
      <c r="I13" s="410">
        <f t="shared" si="3"/>
        <v>11.43561288870019</v>
      </c>
      <c r="J13" s="410" t="e">
        <f>край!#REF!</f>
        <v>#REF!</v>
      </c>
      <c r="K13" s="461" t="e">
        <f t="shared" si="2"/>
        <v>#REF!</v>
      </c>
    </row>
    <row r="14" spans="1:16" ht="16.5" customHeight="1" x14ac:dyDescent="0.25">
      <c r="A14" s="396" t="s">
        <v>366</v>
      </c>
      <c r="B14" s="409">
        <f>'КБ+ФБ по соглашению'!H25/1000</f>
        <v>23345.9</v>
      </c>
      <c r="C14" s="410">
        <v>23345.9</v>
      </c>
      <c r="D14" s="410">
        <f t="shared" si="0"/>
        <v>100</v>
      </c>
      <c r="E14" s="410">
        <v>23345.9</v>
      </c>
      <c r="F14" s="411">
        <f t="shared" si="1"/>
        <v>100</v>
      </c>
      <c r="G14" s="409">
        <f>'КБ+ФБ по соглашению'!H24/1000</f>
        <v>9535.6493000000009</v>
      </c>
      <c r="H14" s="410">
        <v>9535.6492999999991</v>
      </c>
      <c r="I14" s="410">
        <f t="shared" si="3"/>
        <v>99.999999999999972</v>
      </c>
      <c r="J14" s="410">
        <v>9535.6</v>
      </c>
      <c r="K14" s="461">
        <f t="shared" si="2"/>
        <v>99.999482992731288</v>
      </c>
    </row>
    <row r="15" spans="1:16" ht="49.5" customHeight="1" x14ac:dyDescent="0.25">
      <c r="A15" s="394" t="s">
        <v>367</v>
      </c>
      <c r="B15" s="415">
        <f>SUM(B16:B19)</f>
        <v>260237.2</v>
      </c>
      <c r="C15" s="407">
        <f>SUM(C16:C19)</f>
        <v>259389.96518999999</v>
      </c>
      <c r="D15" s="460">
        <f t="shared" si="0"/>
        <v>99.674437470891931</v>
      </c>
      <c r="E15" s="407" t="e">
        <f>SUM(E16:E19)</f>
        <v>#REF!</v>
      </c>
      <c r="F15" s="408" t="e">
        <f t="shared" si="1"/>
        <v>#REF!</v>
      </c>
      <c r="G15" s="415">
        <f>SUM(G16:G19)</f>
        <v>106294.06760000001</v>
      </c>
      <c r="H15" s="407">
        <f>SUM(H16:H19)</f>
        <v>105948.01394999999</v>
      </c>
      <c r="I15" s="407">
        <f>H15/G15*100</f>
        <v>99.674437475379847</v>
      </c>
      <c r="J15" s="407" t="e">
        <f>SUM(J16:J19)</f>
        <v>#REF!</v>
      </c>
      <c r="K15" s="460" t="e">
        <f t="shared" si="2"/>
        <v>#REF!</v>
      </c>
    </row>
    <row r="16" spans="1:16" s="398" customFormat="1" ht="18.75" customHeight="1" x14ac:dyDescent="0.25">
      <c r="A16" s="397" t="s">
        <v>368</v>
      </c>
      <c r="B16" s="412">
        <f>'КБ+ФБ по соглашению'!H31/1000</f>
        <v>145790.1</v>
      </c>
      <c r="C16" s="413">
        <f>край!P45</f>
        <v>145789.96518999999</v>
      </c>
      <c r="D16" s="410">
        <f t="shared" si="0"/>
        <v>99.999907531444165</v>
      </c>
      <c r="E16" s="413" t="e">
        <f>край!#REF!</f>
        <v>#REF!</v>
      </c>
      <c r="F16" s="411" t="e">
        <f t="shared" si="1"/>
        <v>#REF!</v>
      </c>
      <c r="G16" s="412">
        <f>'КБ+ФБ по соглашению'!H30/1000</f>
        <v>59548.069009999999</v>
      </c>
      <c r="H16" s="413">
        <f>край!P44</f>
        <v>59548.013949999993</v>
      </c>
      <c r="I16" s="410">
        <f t="shared" si="3"/>
        <v>99.999907536884209</v>
      </c>
      <c r="J16" s="413" t="e">
        <f>край!#REF!</f>
        <v>#REF!</v>
      </c>
      <c r="K16" s="461" t="e">
        <f t="shared" si="2"/>
        <v>#REF!</v>
      </c>
    </row>
    <row r="17" spans="1:11" s="398" customFormat="1" ht="31.5" x14ac:dyDescent="0.25">
      <c r="A17" s="397" t="s">
        <v>369</v>
      </c>
      <c r="B17" s="412">
        <f>'КБ+ФБ по соглашению'!H34/1000</f>
        <v>63900</v>
      </c>
      <c r="C17" s="413">
        <f>край!P83</f>
        <v>63900</v>
      </c>
      <c r="D17" s="410">
        <f t="shared" si="0"/>
        <v>100</v>
      </c>
      <c r="E17" s="413" t="e">
        <f>край!#REF!</f>
        <v>#REF!</v>
      </c>
      <c r="F17" s="411" t="e">
        <f t="shared" si="1"/>
        <v>#REF!</v>
      </c>
      <c r="G17" s="412">
        <f>'КБ+ФБ по соглашению'!H33/1000</f>
        <v>26100</v>
      </c>
      <c r="H17" s="413">
        <f>край!P82</f>
        <v>26100</v>
      </c>
      <c r="I17" s="410">
        <f t="shared" si="3"/>
        <v>100</v>
      </c>
      <c r="J17" s="413" t="e">
        <f>край!#REF!</f>
        <v>#REF!</v>
      </c>
      <c r="K17" s="461" t="e">
        <f t="shared" si="2"/>
        <v>#REF!</v>
      </c>
    </row>
    <row r="18" spans="1:11" s="398" customFormat="1" ht="31.5" x14ac:dyDescent="0.25">
      <c r="A18" s="397" t="s">
        <v>285</v>
      </c>
      <c r="B18" s="412">
        <f>'КБ+ФБ по соглашению'!H37/1000</f>
        <v>49700</v>
      </c>
      <c r="C18" s="413">
        <f>край!P86</f>
        <v>49700</v>
      </c>
      <c r="D18" s="410">
        <f t="shared" si="0"/>
        <v>100</v>
      </c>
      <c r="E18" s="413" t="e">
        <f>край!#REF!</f>
        <v>#REF!</v>
      </c>
      <c r="F18" s="411" t="e">
        <f t="shared" si="1"/>
        <v>#REF!</v>
      </c>
      <c r="G18" s="412">
        <f>'КБ+ФБ по соглашению'!H36/1000</f>
        <v>20300</v>
      </c>
      <c r="H18" s="413">
        <f>край!P85</f>
        <v>20300</v>
      </c>
      <c r="I18" s="410">
        <f t="shared" si="3"/>
        <v>100</v>
      </c>
      <c r="J18" s="413" t="e">
        <f>край!#REF!</f>
        <v>#REF!</v>
      </c>
      <c r="K18" s="461" t="e">
        <f t="shared" si="2"/>
        <v>#REF!</v>
      </c>
    </row>
    <row r="19" spans="1:11" s="398" customFormat="1" x14ac:dyDescent="0.25">
      <c r="A19" s="397" t="s">
        <v>485</v>
      </c>
      <c r="B19" s="412">
        <f>'КБ+ФБ по соглашению'!H40/1000</f>
        <v>847.1</v>
      </c>
      <c r="C19" s="413"/>
      <c r="D19" s="410">
        <f t="shared" si="0"/>
        <v>0</v>
      </c>
      <c r="E19" s="413"/>
      <c r="F19" s="411">
        <f t="shared" si="1"/>
        <v>0</v>
      </c>
      <c r="G19" s="412">
        <f>'КБ+ФБ по соглашению'!H39/1000</f>
        <v>345.99859000000004</v>
      </c>
      <c r="H19" s="413"/>
      <c r="I19" s="410">
        <f t="shared" si="3"/>
        <v>0</v>
      </c>
      <c r="J19" s="413"/>
      <c r="K19" s="461">
        <f t="shared" si="2"/>
        <v>0</v>
      </c>
    </row>
    <row r="20" spans="1:11" s="398" customFormat="1" ht="64.5" hidden="1" customHeight="1" x14ac:dyDescent="0.25">
      <c r="A20" s="394" t="s">
        <v>46</v>
      </c>
      <c r="B20" s="406">
        <f>'КБ+ФБ по соглашению'!H46/1000</f>
        <v>0</v>
      </c>
      <c r="C20" s="407">
        <f>край!P66</f>
        <v>0</v>
      </c>
      <c r="D20" s="407" t="e">
        <f t="shared" si="0"/>
        <v>#DIV/0!</v>
      </c>
      <c r="E20" s="407" t="e">
        <f>край!#REF!</f>
        <v>#REF!</v>
      </c>
      <c r="F20" s="408" t="e">
        <f t="shared" si="1"/>
        <v>#REF!</v>
      </c>
      <c r="G20" s="406">
        <f>'КБ+ФБ по соглашению'!H45/1000</f>
        <v>0</v>
      </c>
      <c r="H20" s="407">
        <f>край!P65</f>
        <v>0</v>
      </c>
      <c r="I20" s="407" t="e">
        <f>H20/G20*100</f>
        <v>#DIV/0!</v>
      </c>
      <c r="J20" s="407" t="e">
        <f>край!#REF!</f>
        <v>#REF!</v>
      </c>
      <c r="K20" s="460" t="e">
        <f t="shared" si="2"/>
        <v>#REF!</v>
      </c>
    </row>
    <row r="21" spans="1:11" s="398" customFormat="1" ht="64.5" customHeight="1" x14ac:dyDescent="0.25">
      <c r="A21" s="394" t="s">
        <v>612</v>
      </c>
      <c r="B21" s="406">
        <f>'КБ+ФБ по соглашению'!H49/1000</f>
        <v>54335.1</v>
      </c>
      <c r="C21" s="407"/>
      <c r="D21" s="407"/>
      <c r="E21" s="407"/>
      <c r="F21" s="408"/>
      <c r="G21" s="406">
        <f>'КБ+ФБ по соглашению'!H48/1000</f>
        <v>54334.9</v>
      </c>
      <c r="H21" s="407"/>
      <c r="I21" s="407"/>
      <c r="J21" s="407"/>
      <c r="K21" s="460"/>
    </row>
    <row r="22" spans="1:11" s="398" customFormat="1" ht="47.25" x14ac:dyDescent="0.25">
      <c r="A22" s="394" t="s">
        <v>388</v>
      </c>
      <c r="B22" s="406">
        <f>'КБ+ФБ по соглашению'!H43/1000</f>
        <v>178810</v>
      </c>
      <c r="C22" s="407">
        <f>край!P42</f>
        <v>178809.98824000001</v>
      </c>
      <c r="D22" s="407">
        <f>C22/B22*100</f>
        <v>99.999993423186623</v>
      </c>
      <c r="E22" s="407" t="e">
        <f>край!#REF!</f>
        <v>#REF!</v>
      </c>
      <c r="F22" s="408" t="e">
        <f>E22/B22*100</f>
        <v>#REF!</v>
      </c>
      <c r="G22" s="406">
        <f>'КБ+ФБ по соглашению'!H42/1000</f>
        <v>1806.19697</v>
      </c>
      <c r="H22" s="407">
        <f>край!P41</f>
        <v>1806.1968499999998</v>
      </c>
      <c r="I22" s="407">
        <f>H22/G22*100</f>
        <v>99.999993356206318</v>
      </c>
      <c r="J22" s="407" t="e">
        <f>край!#REF!</f>
        <v>#REF!</v>
      </c>
      <c r="K22" s="460" t="e">
        <f>J22/G22*100</f>
        <v>#REF!</v>
      </c>
    </row>
    <row r="23" spans="1:11" s="398" customFormat="1" ht="63" x14ac:dyDescent="0.25">
      <c r="A23" s="394" t="s">
        <v>37</v>
      </c>
      <c r="B23" s="406">
        <f>'КБ+ФБ по соглашению'!H52/1000</f>
        <v>10518.5</v>
      </c>
      <c r="C23" s="407">
        <f>край!P110</f>
        <v>10346.09635</v>
      </c>
      <c r="D23" s="407">
        <f>C23/B23*100</f>
        <v>98.360948329134374</v>
      </c>
      <c r="E23" s="407" t="e">
        <f>край!#REF!</f>
        <v>#REF!</v>
      </c>
      <c r="F23" s="408" t="e">
        <f>E23/B23*100</f>
        <v>#REF!</v>
      </c>
      <c r="G23" s="406">
        <f>'КБ+ФБ по соглашению'!H51/1000</f>
        <v>2467.3024700000001</v>
      </c>
      <c r="H23" s="407">
        <f>край!P109</f>
        <v>2426.8620799999999</v>
      </c>
      <c r="I23" s="407">
        <f>H23/G23*100</f>
        <v>98.360947208876254</v>
      </c>
      <c r="J23" s="407" t="e">
        <f>край!#REF!</f>
        <v>#REF!</v>
      </c>
      <c r="K23" s="460" t="e">
        <f>J23/G23*100</f>
        <v>#REF!</v>
      </c>
    </row>
    <row r="24" spans="1:11" s="398" customFormat="1" ht="126" x14ac:dyDescent="0.25">
      <c r="A24" s="394" t="s">
        <v>479</v>
      </c>
      <c r="B24" s="415">
        <f>SUM(B25:B26)</f>
        <v>26801.8</v>
      </c>
      <c r="C24" s="407">
        <f>SUM(C25:C26)</f>
        <v>0</v>
      </c>
      <c r="D24" s="407">
        <f>C24/B24*100</f>
        <v>0</v>
      </c>
      <c r="E24" s="407">
        <f>SUM(E25:E26)</f>
        <v>0</v>
      </c>
      <c r="F24" s="408">
        <f>E24/B24*100</f>
        <v>0</v>
      </c>
      <c r="G24" s="415">
        <f>SUM(G25:G26)</f>
        <v>10947.2</v>
      </c>
      <c r="H24" s="407">
        <f>SUM(H25:H26)</f>
        <v>0</v>
      </c>
      <c r="I24" s="407">
        <f>H24/G24*100</f>
        <v>0</v>
      </c>
      <c r="J24" s="407">
        <f>SUM(J25:J26)</f>
        <v>0</v>
      </c>
      <c r="K24" s="408">
        <f>J24/G24*100</f>
        <v>0</v>
      </c>
    </row>
    <row r="25" spans="1:11" s="398" customFormat="1" ht="31.5" x14ac:dyDescent="0.25">
      <c r="A25" s="399" t="s">
        <v>482</v>
      </c>
      <c r="B25" s="412">
        <f>'КБ+ФБ по соглашению'!H70/1000</f>
        <v>20494.599999999999</v>
      </c>
      <c r="C25" s="413"/>
      <c r="D25" s="413"/>
      <c r="E25" s="413"/>
      <c r="F25" s="414"/>
      <c r="G25" s="412">
        <f>'КБ+ФБ по соглашению'!H69/1000</f>
        <v>8371</v>
      </c>
      <c r="H25" s="413"/>
      <c r="I25" s="413"/>
      <c r="J25" s="413"/>
      <c r="K25" s="462"/>
    </row>
    <row r="26" spans="1:11" s="398" customFormat="1" ht="31.5" x14ac:dyDescent="0.25">
      <c r="A26" s="399" t="s">
        <v>483</v>
      </c>
      <c r="B26" s="412">
        <f>'КБ+ФБ по соглашению'!H73/1000</f>
        <v>6307.2</v>
      </c>
      <c r="C26" s="413"/>
      <c r="D26" s="413"/>
      <c r="E26" s="413"/>
      <c r="F26" s="414"/>
      <c r="G26" s="412">
        <f>'КБ+ФБ по соглашению'!H72/1000</f>
        <v>2576.1999999999998</v>
      </c>
      <c r="H26" s="413"/>
      <c r="I26" s="413"/>
      <c r="J26" s="413"/>
      <c r="K26" s="462"/>
    </row>
    <row r="27" spans="1:11" s="398" customFormat="1" ht="47.25" x14ac:dyDescent="0.25">
      <c r="A27" s="394" t="s">
        <v>370</v>
      </c>
      <c r="B27" s="406">
        <f>SUM(B28:B29)</f>
        <v>65499</v>
      </c>
      <c r="C27" s="407">
        <f>SUM(C28:C29)</f>
        <v>38461.383849999998</v>
      </c>
      <c r="D27" s="407">
        <f t="shared" ref="D27:D35" si="4">C27/B27*100</f>
        <v>58.720566497198426</v>
      </c>
      <c r="E27" s="407" t="e">
        <f>SUM(E28:E29)</f>
        <v>#REF!</v>
      </c>
      <c r="F27" s="408" t="e">
        <f t="shared" ref="F27:F35" si="5">E27/B27*100</f>
        <v>#REF!</v>
      </c>
      <c r="G27" s="406">
        <f>SUM(G28:G29)</f>
        <v>99888.593640000006</v>
      </c>
      <c r="H27" s="407">
        <f>SUM(H28:H29)</f>
        <v>58655.148050000003</v>
      </c>
      <c r="I27" s="407">
        <f>H27/G27*100</f>
        <v>58.72056649570424</v>
      </c>
      <c r="J27" s="407" t="e">
        <f>SUM(J28:J29)</f>
        <v>#REF!</v>
      </c>
      <c r="K27" s="460" t="e">
        <f t="shared" si="2"/>
        <v>#REF!</v>
      </c>
    </row>
    <row r="28" spans="1:11" s="398" customFormat="1" x14ac:dyDescent="0.25">
      <c r="A28" s="399" t="s">
        <v>287</v>
      </c>
      <c r="B28" s="412">
        <f>'КБ+ФБ по соглашению'!H61/1000</f>
        <v>35643</v>
      </c>
      <c r="C28" s="413">
        <f>край!P89</f>
        <v>26712.448329999999</v>
      </c>
      <c r="D28" s="410">
        <f t="shared" si="4"/>
        <v>74.944444435092436</v>
      </c>
      <c r="E28" s="413" t="e">
        <f>край!#REF!</f>
        <v>#REF!</v>
      </c>
      <c r="F28" s="414" t="e">
        <f t="shared" si="5"/>
        <v>#REF!</v>
      </c>
      <c r="G28" s="412">
        <f>'КБ+ФБ по соглашению'!H60/1000</f>
        <v>54357</v>
      </c>
      <c r="H28" s="413">
        <f>край!P88</f>
        <v>40737.551670000001</v>
      </c>
      <c r="I28" s="410">
        <f t="shared" ref="I28:I34" si="6">H28/G28*100</f>
        <v>74.944444450576739</v>
      </c>
      <c r="J28" s="413" t="e">
        <f>край!#REF!</f>
        <v>#REF!</v>
      </c>
      <c r="K28" s="462" t="e">
        <f t="shared" si="2"/>
        <v>#REF!</v>
      </c>
    </row>
    <row r="29" spans="1:11" s="398" customFormat="1" ht="17.25" customHeight="1" x14ac:dyDescent="0.25">
      <c r="A29" s="399" t="s">
        <v>288</v>
      </c>
      <c r="B29" s="412">
        <f>'КБ+ФБ по соглашению'!H64/1000</f>
        <v>29856</v>
      </c>
      <c r="C29" s="413">
        <f>край!P92</f>
        <v>11748.935519999999</v>
      </c>
      <c r="D29" s="410">
        <f t="shared" si="4"/>
        <v>39.352008038585204</v>
      </c>
      <c r="E29" s="413" t="e">
        <f>край!#REF!</f>
        <v>#REF!</v>
      </c>
      <c r="F29" s="414" t="e">
        <f t="shared" si="5"/>
        <v>#REF!</v>
      </c>
      <c r="G29" s="412">
        <f>'КБ+ФБ по соглашению'!H63/1000</f>
        <v>45531.593639999999</v>
      </c>
      <c r="H29" s="413">
        <f>край!P91</f>
        <v>17917.596379999999</v>
      </c>
      <c r="I29" s="410">
        <f t="shared" si="6"/>
        <v>39.352008018140609</v>
      </c>
      <c r="J29" s="413" t="e">
        <f>край!#REF!</f>
        <v>#REF!</v>
      </c>
      <c r="K29" s="462" t="e">
        <f t="shared" si="2"/>
        <v>#REF!</v>
      </c>
    </row>
    <row r="30" spans="1:11" s="398" customFormat="1" ht="47.25" x14ac:dyDescent="0.25">
      <c r="A30" s="394" t="s">
        <v>307</v>
      </c>
      <c r="B30" s="415">
        <f>SUM(B31:B34)</f>
        <v>12826.400000000001</v>
      </c>
      <c r="C30" s="407">
        <f>SUM(C31:C34)</f>
        <v>10388.319650000001</v>
      </c>
      <c r="D30" s="407">
        <f t="shared" si="4"/>
        <v>80.991701880496478</v>
      </c>
      <c r="E30" s="407" t="e">
        <f>SUM(E31:E34)</f>
        <v>#REF!</v>
      </c>
      <c r="F30" s="408" t="e">
        <f t="shared" si="5"/>
        <v>#REF!</v>
      </c>
      <c r="G30" s="415">
        <f>SUM(G31:G34)</f>
        <v>3477.7159999999999</v>
      </c>
      <c r="H30" s="407">
        <f>SUM(H31:H34)</f>
        <v>3309.8650400000001</v>
      </c>
      <c r="I30" s="407">
        <f>H30/G30*100</f>
        <v>95.173528833291741</v>
      </c>
      <c r="J30" s="407" t="e">
        <f>SUM(J31:J34)</f>
        <v>#REF!</v>
      </c>
      <c r="K30" s="460" t="e">
        <f t="shared" si="2"/>
        <v>#REF!</v>
      </c>
    </row>
    <row r="31" spans="1:11" s="398" customFormat="1" ht="18.75" customHeight="1" x14ac:dyDescent="0.25">
      <c r="A31" s="399" t="s">
        <v>373</v>
      </c>
      <c r="B31" s="412">
        <f>'КБ+ФБ по соглашению'!H79/1000</f>
        <v>9318.7000000000007</v>
      </c>
      <c r="C31" s="413">
        <f>край!P161</f>
        <v>9318.7000000000007</v>
      </c>
      <c r="D31" s="410">
        <f t="shared" si="4"/>
        <v>100</v>
      </c>
      <c r="E31" s="413" t="e">
        <f>край!#REF!</f>
        <v>#REF!</v>
      </c>
      <c r="F31" s="414" t="e">
        <f t="shared" si="5"/>
        <v>#REF!</v>
      </c>
      <c r="G31" s="412">
        <f>'КБ+ФБ по соглашению'!H78/1000</f>
        <v>3293.1</v>
      </c>
      <c r="H31" s="413">
        <f>край!P160</f>
        <v>3293.1</v>
      </c>
      <c r="I31" s="410">
        <f t="shared" si="6"/>
        <v>100</v>
      </c>
      <c r="J31" s="413" t="e">
        <f>край!#REF!</f>
        <v>#REF!</v>
      </c>
      <c r="K31" s="462" t="e">
        <f t="shared" si="2"/>
        <v>#REF!</v>
      </c>
    </row>
    <row r="32" spans="1:11" s="398" customFormat="1" x14ac:dyDescent="0.25">
      <c r="A32" s="399" t="s">
        <v>346</v>
      </c>
      <c r="B32" s="412">
        <f>'КБ+ФБ по соглашению'!H82/1000</f>
        <v>337.1</v>
      </c>
      <c r="C32" s="413">
        <f>край!P155</f>
        <v>0</v>
      </c>
      <c r="D32" s="410">
        <f t="shared" si="4"/>
        <v>0</v>
      </c>
      <c r="E32" s="413" t="e">
        <f>край!#REF!</f>
        <v>#REF!</v>
      </c>
      <c r="F32" s="414" t="e">
        <f t="shared" si="5"/>
        <v>#REF!</v>
      </c>
      <c r="G32" s="412">
        <f>'КБ+ФБ по соглашению'!H81/1000</f>
        <v>17.739999999999998</v>
      </c>
      <c r="H32" s="413">
        <f>край!P154</f>
        <v>16.765040000000003</v>
      </c>
      <c r="I32" s="410">
        <f t="shared" si="6"/>
        <v>94.504171364148831</v>
      </c>
      <c r="J32" s="413" t="e">
        <f>край!#REF!</f>
        <v>#REF!</v>
      </c>
      <c r="K32" s="462" t="e">
        <f t="shared" si="2"/>
        <v>#REF!</v>
      </c>
    </row>
    <row r="33" spans="1:11" s="398" customFormat="1" x14ac:dyDescent="0.25">
      <c r="A33" s="399" t="s">
        <v>374</v>
      </c>
      <c r="B33" s="412">
        <f>'КБ+ФБ по соглашению'!H85/1000</f>
        <v>878.9</v>
      </c>
      <c r="C33" s="413">
        <f>край!P158</f>
        <v>205.10453000000001</v>
      </c>
      <c r="D33" s="410">
        <f t="shared" si="4"/>
        <v>23.33650358402549</v>
      </c>
      <c r="E33" s="413" t="e">
        <f>край!#REF!</f>
        <v>#REF!</v>
      </c>
      <c r="F33" s="414" t="e">
        <f t="shared" si="5"/>
        <v>#REF!</v>
      </c>
      <c r="G33" s="412">
        <f>'КБ+ФБ по соглашению'!H84/1000</f>
        <v>46.26</v>
      </c>
      <c r="H33" s="413">
        <f>край!P157</f>
        <v>0</v>
      </c>
      <c r="I33" s="410">
        <f t="shared" si="6"/>
        <v>0</v>
      </c>
      <c r="J33" s="413" t="e">
        <f>край!#REF!</f>
        <v>#REF!</v>
      </c>
      <c r="K33" s="462" t="e">
        <f t="shared" si="2"/>
        <v>#REF!</v>
      </c>
    </row>
    <row r="34" spans="1:11" ht="31.5" x14ac:dyDescent="0.25">
      <c r="A34" s="399" t="s">
        <v>348</v>
      </c>
      <c r="B34" s="409">
        <f>'КБ+ФБ по соглашению'!H88/1000</f>
        <v>2291.6999999999998</v>
      </c>
      <c r="C34" s="410">
        <f>'Роспись фед'!F41/1000</f>
        <v>864.51512000000002</v>
      </c>
      <c r="D34" s="410">
        <f t="shared" si="4"/>
        <v>37.723747436400927</v>
      </c>
      <c r="E34" s="410">
        <f>C34</f>
        <v>864.51512000000002</v>
      </c>
      <c r="F34" s="414">
        <f t="shared" si="5"/>
        <v>37.723747436400927</v>
      </c>
      <c r="G34" s="409">
        <f>'КБ+ФБ по соглашению'!H87/1000</f>
        <v>120.616</v>
      </c>
      <c r="H34" s="410"/>
      <c r="I34" s="410">
        <f t="shared" si="6"/>
        <v>0</v>
      </c>
      <c r="J34" s="410">
        <f>H34</f>
        <v>0</v>
      </c>
      <c r="K34" s="462">
        <f t="shared" si="2"/>
        <v>0</v>
      </c>
    </row>
    <row r="35" spans="1:11" ht="16.5" thickBot="1" x14ac:dyDescent="0.3">
      <c r="A35" s="400" t="s">
        <v>289</v>
      </c>
      <c r="B35" s="447">
        <f>B8+B15+B21+B23+B20+B22+B24+B27+B30</f>
        <v>1119157.5</v>
      </c>
      <c r="C35" s="447">
        <f>C8+C15+C21+C23+C20+C22+C24+C27+C30</f>
        <v>953921.26145999995</v>
      </c>
      <c r="D35" s="448">
        <f t="shared" si="4"/>
        <v>85.235658203604046</v>
      </c>
      <c r="E35" s="447" t="e">
        <f>E8+E15+E21+E23+E20+E22+E24+E27+E30</f>
        <v>#REF!</v>
      </c>
      <c r="F35" s="449" t="e">
        <f t="shared" si="5"/>
        <v>#REF!</v>
      </c>
      <c r="G35" s="447">
        <f>G8+G15+G21+G23+G20+G22+G24+G27+G30</f>
        <v>487578.73021000007</v>
      </c>
      <c r="H35" s="447">
        <f>H8+H15+H21+H23+H20+H22+H24+H27+H30</f>
        <v>358614.25131999998</v>
      </c>
      <c r="I35" s="448">
        <f>H35/G35*100</f>
        <v>73.550019535418386</v>
      </c>
      <c r="J35" s="447" t="e">
        <f>J8+J15+J21+J23+J20+J22+J24+J27+J30</f>
        <v>#REF!</v>
      </c>
      <c r="K35" s="463" t="e">
        <f t="shared" si="2"/>
        <v>#REF!</v>
      </c>
    </row>
    <row r="36" spans="1:11" ht="31.5" x14ac:dyDescent="0.25">
      <c r="A36" s="306" t="s">
        <v>412</v>
      </c>
      <c r="B36" s="409">
        <v>1065185.1000000001</v>
      </c>
      <c r="C36" s="410">
        <v>234071.73502000002</v>
      </c>
      <c r="D36" s="410">
        <v>21.974747395546558</v>
      </c>
      <c r="E36" s="410">
        <v>234071.73502000002</v>
      </c>
      <c r="F36" s="411">
        <v>21.974747395546558</v>
      </c>
      <c r="G36" s="409">
        <v>316173.43989000004</v>
      </c>
      <c r="H36" s="410">
        <v>79257.618790000008</v>
      </c>
      <c r="I36" s="410">
        <v>25.067766229059135</v>
      </c>
      <c r="J36" s="410">
        <v>79257.618790000008</v>
      </c>
      <c r="K36" s="461">
        <v>25.067766229059135</v>
      </c>
    </row>
    <row r="37" spans="1:11" x14ac:dyDescent="0.25">
      <c r="A37" s="400"/>
      <c r="B37" s="753"/>
      <c r="C37" s="401"/>
      <c r="D37" s="402"/>
      <c r="E37" s="401"/>
      <c r="F37" s="403"/>
      <c r="G37" s="401"/>
      <c r="H37" s="401"/>
      <c r="I37" s="401"/>
      <c r="J37" s="401"/>
      <c r="K37" s="401"/>
    </row>
    <row r="38" spans="1:11" ht="25.5" customHeight="1" thickBot="1" x14ac:dyDescent="0.3">
      <c r="A38" s="1203" t="s">
        <v>371</v>
      </c>
      <c r="B38" s="1204"/>
      <c r="C38" s="1204"/>
      <c r="D38" s="1204"/>
      <c r="E38" s="1204"/>
      <c r="F38" s="1204"/>
      <c r="G38" s="1204"/>
      <c r="H38" s="1204"/>
      <c r="I38" s="1204"/>
      <c r="J38" s="1204"/>
      <c r="K38" s="1205"/>
    </row>
    <row r="39" spans="1:11" ht="79.5" thickBot="1" x14ac:dyDescent="0.3">
      <c r="A39" s="450" t="s">
        <v>474</v>
      </c>
      <c r="B39" s="452">
        <f>'КБ+ФБ по соглашению'!H55/1000</f>
        <v>17454.3</v>
      </c>
      <c r="C39" s="453">
        <f>край!P113</f>
        <v>17454.3</v>
      </c>
      <c r="D39" s="453">
        <f>C39/B39*100</f>
        <v>100</v>
      </c>
      <c r="E39" s="453" t="e">
        <f>край!#REF!</f>
        <v>#REF!</v>
      </c>
      <c r="F39" s="454" t="e">
        <f>E39/B39*100</f>
        <v>#REF!</v>
      </c>
      <c r="G39" s="452">
        <f>'КБ+ФБ по соглашению'!H54/1000</f>
        <v>7129.2211200000002</v>
      </c>
      <c r="H39" s="453">
        <f>край!P112</f>
        <v>7129.2211200000002</v>
      </c>
      <c r="I39" s="453">
        <f>H39/G39*100</f>
        <v>100</v>
      </c>
      <c r="J39" s="453" t="e">
        <f>край!#REF!</f>
        <v>#REF!</v>
      </c>
      <c r="K39" s="454" t="e">
        <f>J39/G39*100</f>
        <v>#REF!</v>
      </c>
    </row>
    <row r="40" spans="1:11" ht="33.75" customHeight="1" x14ac:dyDescent="0.25">
      <c r="A40" s="306" t="s">
        <v>412</v>
      </c>
      <c r="B40" s="451">
        <v>21289.5</v>
      </c>
      <c r="C40" s="451">
        <v>6969.0355600000003</v>
      </c>
      <c r="D40" s="451">
        <v>32.734613588858359</v>
      </c>
      <c r="E40" s="451">
        <v>0</v>
      </c>
      <c r="F40" s="478">
        <v>0</v>
      </c>
      <c r="G40" s="451">
        <v>7096.5</v>
      </c>
      <c r="H40" s="451">
        <v>2323.01188</v>
      </c>
      <c r="I40" s="478">
        <v>32.734613964630455</v>
      </c>
      <c r="J40" s="451">
        <v>0</v>
      </c>
      <c r="K40" s="478">
        <v>0</v>
      </c>
    </row>
    <row r="47" spans="1:11" x14ac:dyDescent="0.25">
      <c r="D47" s="862"/>
    </row>
    <row r="49" spans="4:4" x14ac:dyDescent="0.25">
      <c r="D49" s="395"/>
    </row>
  </sheetData>
  <mergeCells count="6">
    <mergeCell ref="A1:K1"/>
    <mergeCell ref="A38:K38"/>
    <mergeCell ref="A4:A5"/>
    <mergeCell ref="G4:K4"/>
    <mergeCell ref="A7:I7"/>
    <mergeCell ref="B4:F4"/>
  </mergeCells>
  <pageMargins left="0.43307086614173229" right="0.35433070866141736" top="0.39370078740157483" bottom="0.59055118110236227" header="0.31496062992125984" footer="0.31496062992125984"/>
  <pageSetup paperSize="9" scale="75" orientation="landscape" r:id="rId1"/>
  <rowBreaks count="1" manualBreakCount="1">
    <brk id="23" max="10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2"/>
  <sheetViews>
    <sheetView view="pageBreakPreview" zoomScale="85" zoomScaleNormal="85" zoomScaleSheetLayoutView="85" workbookViewId="0">
      <pane xSplit="7" ySplit="3" topLeftCell="H40" activePane="bottomRight" state="frozen"/>
      <selection pane="topRight" activeCell="J1" sqref="J1"/>
      <selection pane="bottomLeft" activeCell="A4" sqref="A4"/>
      <selection pane="bottomRight" activeCell="U50" sqref="U50"/>
    </sheetView>
  </sheetViews>
  <sheetFormatPr defaultRowHeight="16.5" x14ac:dyDescent="0.2"/>
  <cols>
    <col min="1" max="1" width="60.5703125" style="1" customWidth="1"/>
    <col min="2" max="2" width="25.140625" style="1" customWidth="1"/>
    <col min="3" max="3" width="17.140625" style="4" customWidth="1"/>
    <col min="4" max="4" width="10.28515625" style="1" customWidth="1"/>
    <col min="5" max="5" width="10.7109375" style="1" customWidth="1"/>
    <col min="6" max="6" width="26.28515625" style="1" hidden="1" customWidth="1"/>
    <col min="7" max="7" width="15.140625" style="1" hidden="1" customWidth="1"/>
    <col min="8" max="8" width="19.85546875" style="1" customWidth="1"/>
    <col min="9" max="9" width="22.85546875" style="1" customWidth="1"/>
    <col min="10" max="10" width="26.140625" style="1" customWidth="1"/>
    <col min="11" max="11" width="27.28515625" style="1" customWidth="1"/>
    <col min="12" max="12" width="16.42578125" style="1" hidden="1" customWidth="1"/>
    <col min="13" max="14" width="18" style="1" hidden="1" customWidth="1"/>
    <col min="15" max="15" width="26.42578125" style="1" hidden="1" customWidth="1"/>
    <col min="16" max="16" width="19.85546875" style="1" hidden="1" customWidth="1"/>
    <col min="17" max="17" width="20.5703125" style="1" hidden="1" customWidth="1"/>
    <col min="18" max="18" width="25" style="1" hidden="1" customWidth="1"/>
    <col min="19" max="19" width="25.7109375" style="1" hidden="1" customWidth="1"/>
    <col min="20" max="20" width="20.7109375" customWidth="1"/>
    <col min="21" max="21" width="22.28515625" style="1" customWidth="1"/>
    <col min="22" max="22" width="22.85546875" style="1" customWidth="1"/>
    <col min="23" max="23" width="23.28515625" style="1" customWidth="1"/>
    <col min="24" max="24" width="26.42578125" style="1" customWidth="1"/>
    <col min="25" max="25" width="9.140625" style="1"/>
    <col min="26" max="26" width="15" style="1" customWidth="1"/>
    <col min="27" max="261" width="9.140625" style="1"/>
    <col min="262" max="262" width="93.5703125" style="1" customWidth="1"/>
    <col min="263" max="263" width="17.140625" style="1" customWidth="1"/>
    <col min="264" max="264" width="11.7109375" style="1" customWidth="1"/>
    <col min="265" max="265" width="13" style="1" customWidth="1"/>
    <col min="266" max="266" width="13.140625" style="1" customWidth="1"/>
    <col min="267" max="267" width="21.5703125" style="1" customWidth="1"/>
    <col min="268" max="268" width="0" style="1" hidden="1" customWidth="1"/>
    <col min="269" max="269" width="17.42578125" style="1" customWidth="1"/>
    <col min="270" max="270" width="21.42578125" style="1" customWidth="1"/>
    <col min="271" max="271" width="19.7109375" style="1" customWidth="1"/>
    <col min="272" max="272" width="18.85546875" style="1" customWidth="1"/>
    <col min="273" max="273" width="0" style="1" hidden="1" customWidth="1"/>
    <col min="274" max="274" width="30.7109375" style="1" customWidth="1"/>
    <col min="275" max="275" width="17.140625" style="1" customWidth="1"/>
    <col min="276" max="276" width="18" style="1" customWidth="1"/>
    <col min="277" max="517" width="9.140625" style="1"/>
    <col min="518" max="518" width="93.5703125" style="1" customWidth="1"/>
    <col min="519" max="519" width="17.140625" style="1" customWidth="1"/>
    <col min="520" max="520" width="11.7109375" style="1" customWidth="1"/>
    <col min="521" max="521" width="13" style="1" customWidth="1"/>
    <col min="522" max="522" width="13.140625" style="1" customWidth="1"/>
    <col min="523" max="523" width="21.5703125" style="1" customWidth="1"/>
    <col min="524" max="524" width="0" style="1" hidden="1" customWidth="1"/>
    <col min="525" max="525" width="17.42578125" style="1" customWidth="1"/>
    <col min="526" max="526" width="21.42578125" style="1" customWidth="1"/>
    <col min="527" max="527" width="19.7109375" style="1" customWidth="1"/>
    <col min="528" max="528" width="18.85546875" style="1" customWidth="1"/>
    <col min="529" max="529" width="0" style="1" hidden="1" customWidth="1"/>
    <col min="530" max="530" width="30.7109375" style="1" customWidth="1"/>
    <col min="531" max="531" width="17.140625" style="1" customWidth="1"/>
    <col min="532" max="532" width="18" style="1" customWidth="1"/>
    <col min="533" max="773" width="9.140625" style="1"/>
    <col min="774" max="774" width="93.5703125" style="1" customWidth="1"/>
    <col min="775" max="775" width="17.140625" style="1" customWidth="1"/>
    <col min="776" max="776" width="11.7109375" style="1" customWidth="1"/>
    <col min="777" max="777" width="13" style="1" customWidth="1"/>
    <col min="778" max="778" width="13.140625" style="1" customWidth="1"/>
    <col min="779" max="779" width="21.5703125" style="1" customWidth="1"/>
    <col min="780" max="780" width="0" style="1" hidden="1" customWidth="1"/>
    <col min="781" max="781" width="17.42578125" style="1" customWidth="1"/>
    <col min="782" max="782" width="21.42578125" style="1" customWidth="1"/>
    <col min="783" max="783" width="19.7109375" style="1" customWidth="1"/>
    <col min="784" max="784" width="18.85546875" style="1" customWidth="1"/>
    <col min="785" max="785" width="0" style="1" hidden="1" customWidth="1"/>
    <col min="786" max="786" width="30.7109375" style="1" customWidth="1"/>
    <col min="787" max="787" width="17.140625" style="1" customWidth="1"/>
    <col min="788" max="788" width="18" style="1" customWidth="1"/>
    <col min="789" max="1029" width="9.140625" style="1"/>
    <col min="1030" max="1030" width="93.5703125" style="1" customWidth="1"/>
    <col min="1031" max="1031" width="17.140625" style="1" customWidth="1"/>
    <col min="1032" max="1032" width="11.7109375" style="1" customWidth="1"/>
    <col min="1033" max="1033" width="13" style="1" customWidth="1"/>
    <col min="1034" max="1034" width="13.140625" style="1" customWidth="1"/>
    <col min="1035" max="1035" width="21.5703125" style="1" customWidth="1"/>
    <col min="1036" max="1036" width="0" style="1" hidden="1" customWidth="1"/>
    <col min="1037" max="1037" width="17.42578125" style="1" customWidth="1"/>
    <col min="1038" max="1038" width="21.42578125" style="1" customWidth="1"/>
    <col min="1039" max="1039" width="19.7109375" style="1" customWidth="1"/>
    <col min="1040" max="1040" width="18.85546875" style="1" customWidth="1"/>
    <col min="1041" max="1041" width="0" style="1" hidden="1" customWidth="1"/>
    <col min="1042" max="1042" width="30.7109375" style="1" customWidth="1"/>
    <col min="1043" max="1043" width="17.140625" style="1" customWidth="1"/>
    <col min="1044" max="1044" width="18" style="1" customWidth="1"/>
    <col min="1045" max="1285" width="9.140625" style="1"/>
    <col min="1286" max="1286" width="93.5703125" style="1" customWidth="1"/>
    <col min="1287" max="1287" width="17.140625" style="1" customWidth="1"/>
    <col min="1288" max="1288" width="11.7109375" style="1" customWidth="1"/>
    <col min="1289" max="1289" width="13" style="1" customWidth="1"/>
    <col min="1290" max="1290" width="13.140625" style="1" customWidth="1"/>
    <col min="1291" max="1291" width="21.5703125" style="1" customWidth="1"/>
    <col min="1292" max="1292" width="0" style="1" hidden="1" customWidth="1"/>
    <col min="1293" max="1293" width="17.42578125" style="1" customWidth="1"/>
    <col min="1294" max="1294" width="21.42578125" style="1" customWidth="1"/>
    <col min="1295" max="1295" width="19.7109375" style="1" customWidth="1"/>
    <col min="1296" max="1296" width="18.85546875" style="1" customWidth="1"/>
    <col min="1297" max="1297" width="0" style="1" hidden="1" customWidth="1"/>
    <col min="1298" max="1298" width="30.7109375" style="1" customWidth="1"/>
    <col min="1299" max="1299" width="17.140625" style="1" customWidth="1"/>
    <col min="1300" max="1300" width="18" style="1" customWidth="1"/>
    <col min="1301" max="1541" width="9.140625" style="1"/>
    <col min="1542" max="1542" width="93.5703125" style="1" customWidth="1"/>
    <col min="1543" max="1543" width="17.140625" style="1" customWidth="1"/>
    <col min="1544" max="1544" width="11.7109375" style="1" customWidth="1"/>
    <col min="1545" max="1545" width="13" style="1" customWidth="1"/>
    <col min="1546" max="1546" width="13.140625" style="1" customWidth="1"/>
    <col min="1547" max="1547" width="21.5703125" style="1" customWidth="1"/>
    <col min="1548" max="1548" width="0" style="1" hidden="1" customWidth="1"/>
    <col min="1549" max="1549" width="17.42578125" style="1" customWidth="1"/>
    <col min="1550" max="1550" width="21.42578125" style="1" customWidth="1"/>
    <col min="1551" max="1551" width="19.7109375" style="1" customWidth="1"/>
    <col min="1552" max="1552" width="18.85546875" style="1" customWidth="1"/>
    <col min="1553" max="1553" width="0" style="1" hidden="1" customWidth="1"/>
    <col min="1554" max="1554" width="30.7109375" style="1" customWidth="1"/>
    <col min="1555" max="1555" width="17.140625" style="1" customWidth="1"/>
    <col min="1556" max="1556" width="18" style="1" customWidth="1"/>
    <col min="1557" max="1797" width="9.140625" style="1"/>
    <col min="1798" max="1798" width="93.5703125" style="1" customWidth="1"/>
    <col min="1799" max="1799" width="17.140625" style="1" customWidth="1"/>
    <col min="1800" max="1800" width="11.7109375" style="1" customWidth="1"/>
    <col min="1801" max="1801" width="13" style="1" customWidth="1"/>
    <col min="1802" max="1802" width="13.140625" style="1" customWidth="1"/>
    <col min="1803" max="1803" width="21.5703125" style="1" customWidth="1"/>
    <col min="1804" max="1804" width="0" style="1" hidden="1" customWidth="1"/>
    <col min="1805" max="1805" width="17.42578125" style="1" customWidth="1"/>
    <col min="1806" max="1806" width="21.42578125" style="1" customWidth="1"/>
    <col min="1807" max="1807" width="19.7109375" style="1" customWidth="1"/>
    <col min="1808" max="1808" width="18.85546875" style="1" customWidth="1"/>
    <col min="1809" max="1809" width="0" style="1" hidden="1" customWidth="1"/>
    <col min="1810" max="1810" width="30.7109375" style="1" customWidth="1"/>
    <col min="1811" max="1811" width="17.140625" style="1" customWidth="1"/>
    <col min="1812" max="1812" width="18" style="1" customWidth="1"/>
    <col min="1813" max="2053" width="9.140625" style="1"/>
    <col min="2054" max="2054" width="93.5703125" style="1" customWidth="1"/>
    <col min="2055" max="2055" width="17.140625" style="1" customWidth="1"/>
    <col min="2056" max="2056" width="11.7109375" style="1" customWidth="1"/>
    <col min="2057" max="2057" width="13" style="1" customWidth="1"/>
    <col min="2058" max="2058" width="13.140625" style="1" customWidth="1"/>
    <col min="2059" max="2059" width="21.5703125" style="1" customWidth="1"/>
    <col min="2060" max="2060" width="0" style="1" hidden="1" customWidth="1"/>
    <col min="2061" max="2061" width="17.42578125" style="1" customWidth="1"/>
    <col min="2062" max="2062" width="21.42578125" style="1" customWidth="1"/>
    <col min="2063" max="2063" width="19.7109375" style="1" customWidth="1"/>
    <col min="2064" max="2064" width="18.85546875" style="1" customWidth="1"/>
    <col min="2065" max="2065" width="0" style="1" hidden="1" customWidth="1"/>
    <col min="2066" max="2066" width="30.7109375" style="1" customWidth="1"/>
    <col min="2067" max="2067" width="17.140625" style="1" customWidth="1"/>
    <col min="2068" max="2068" width="18" style="1" customWidth="1"/>
    <col min="2069" max="2309" width="9.140625" style="1"/>
    <col min="2310" max="2310" width="93.5703125" style="1" customWidth="1"/>
    <col min="2311" max="2311" width="17.140625" style="1" customWidth="1"/>
    <col min="2312" max="2312" width="11.7109375" style="1" customWidth="1"/>
    <col min="2313" max="2313" width="13" style="1" customWidth="1"/>
    <col min="2314" max="2314" width="13.140625" style="1" customWidth="1"/>
    <col min="2315" max="2315" width="21.5703125" style="1" customWidth="1"/>
    <col min="2316" max="2316" width="0" style="1" hidden="1" customWidth="1"/>
    <col min="2317" max="2317" width="17.42578125" style="1" customWidth="1"/>
    <col min="2318" max="2318" width="21.42578125" style="1" customWidth="1"/>
    <col min="2319" max="2319" width="19.7109375" style="1" customWidth="1"/>
    <col min="2320" max="2320" width="18.85546875" style="1" customWidth="1"/>
    <col min="2321" max="2321" width="0" style="1" hidden="1" customWidth="1"/>
    <col min="2322" max="2322" width="30.7109375" style="1" customWidth="1"/>
    <col min="2323" max="2323" width="17.140625" style="1" customWidth="1"/>
    <col min="2324" max="2324" width="18" style="1" customWidth="1"/>
    <col min="2325" max="2565" width="9.140625" style="1"/>
    <col min="2566" max="2566" width="93.5703125" style="1" customWidth="1"/>
    <col min="2567" max="2567" width="17.140625" style="1" customWidth="1"/>
    <col min="2568" max="2568" width="11.7109375" style="1" customWidth="1"/>
    <col min="2569" max="2569" width="13" style="1" customWidth="1"/>
    <col min="2570" max="2570" width="13.140625" style="1" customWidth="1"/>
    <col min="2571" max="2571" width="21.5703125" style="1" customWidth="1"/>
    <col min="2572" max="2572" width="0" style="1" hidden="1" customWidth="1"/>
    <col min="2573" max="2573" width="17.42578125" style="1" customWidth="1"/>
    <col min="2574" max="2574" width="21.42578125" style="1" customWidth="1"/>
    <col min="2575" max="2575" width="19.7109375" style="1" customWidth="1"/>
    <col min="2576" max="2576" width="18.85546875" style="1" customWidth="1"/>
    <col min="2577" max="2577" width="0" style="1" hidden="1" customWidth="1"/>
    <col min="2578" max="2578" width="30.7109375" style="1" customWidth="1"/>
    <col min="2579" max="2579" width="17.140625" style="1" customWidth="1"/>
    <col min="2580" max="2580" width="18" style="1" customWidth="1"/>
    <col min="2581" max="2821" width="9.140625" style="1"/>
    <col min="2822" max="2822" width="93.5703125" style="1" customWidth="1"/>
    <col min="2823" max="2823" width="17.140625" style="1" customWidth="1"/>
    <col min="2824" max="2824" width="11.7109375" style="1" customWidth="1"/>
    <col min="2825" max="2825" width="13" style="1" customWidth="1"/>
    <col min="2826" max="2826" width="13.140625" style="1" customWidth="1"/>
    <col min="2827" max="2827" width="21.5703125" style="1" customWidth="1"/>
    <col min="2828" max="2828" width="0" style="1" hidden="1" customWidth="1"/>
    <col min="2829" max="2829" width="17.42578125" style="1" customWidth="1"/>
    <col min="2830" max="2830" width="21.42578125" style="1" customWidth="1"/>
    <col min="2831" max="2831" width="19.7109375" style="1" customWidth="1"/>
    <col min="2832" max="2832" width="18.85546875" style="1" customWidth="1"/>
    <col min="2833" max="2833" width="0" style="1" hidden="1" customWidth="1"/>
    <col min="2834" max="2834" width="30.7109375" style="1" customWidth="1"/>
    <col min="2835" max="2835" width="17.140625" style="1" customWidth="1"/>
    <col min="2836" max="2836" width="18" style="1" customWidth="1"/>
    <col min="2837" max="3077" width="9.140625" style="1"/>
    <col min="3078" max="3078" width="93.5703125" style="1" customWidth="1"/>
    <col min="3079" max="3079" width="17.140625" style="1" customWidth="1"/>
    <col min="3080" max="3080" width="11.7109375" style="1" customWidth="1"/>
    <col min="3081" max="3081" width="13" style="1" customWidth="1"/>
    <col min="3082" max="3082" width="13.140625" style="1" customWidth="1"/>
    <col min="3083" max="3083" width="21.5703125" style="1" customWidth="1"/>
    <col min="3084" max="3084" width="0" style="1" hidden="1" customWidth="1"/>
    <col min="3085" max="3085" width="17.42578125" style="1" customWidth="1"/>
    <col min="3086" max="3086" width="21.42578125" style="1" customWidth="1"/>
    <col min="3087" max="3087" width="19.7109375" style="1" customWidth="1"/>
    <col min="3088" max="3088" width="18.85546875" style="1" customWidth="1"/>
    <col min="3089" max="3089" width="0" style="1" hidden="1" customWidth="1"/>
    <col min="3090" max="3090" width="30.7109375" style="1" customWidth="1"/>
    <col min="3091" max="3091" width="17.140625" style="1" customWidth="1"/>
    <col min="3092" max="3092" width="18" style="1" customWidth="1"/>
    <col min="3093" max="3333" width="9.140625" style="1"/>
    <col min="3334" max="3334" width="93.5703125" style="1" customWidth="1"/>
    <col min="3335" max="3335" width="17.140625" style="1" customWidth="1"/>
    <col min="3336" max="3336" width="11.7109375" style="1" customWidth="1"/>
    <col min="3337" max="3337" width="13" style="1" customWidth="1"/>
    <col min="3338" max="3338" width="13.140625" style="1" customWidth="1"/>
    <col min="3339" max="3339" width="21.5703125" style="1" customWidth="1"/>
    <col min="3340" max="3340" width="0" style="1" hidden="1" customWidth="1"/>
    <col min="3341" max="3341" width="17.42578125" style="1" customWidth="1"/>
    <col min="3342" max="3342" width="21.42578125" style="1" customWidth="1"/>
    <col min="3343" max="3343" width="19.7109375" style="1" customWidth="1"/>
    <col min="3344" max="3344" width="18.85546875" style="1" customWidth="1"/>
    <col min="3345" max="3345" width="0" style="1" hidden="1" customWidth="1"/>
    <col min="3346" max="3346" width="30.7109375" style="1" customWidth="1"/>
    <col min="3347" max="3347" width="17.140625" style="1" customWidth="1"/>
    <col min="3348" max="3348" width="18" style="1" customWidth="1"/>
    <col min="3349" max="3589" width="9.140625" style="1"/>
    <col min="3590" max="3590" width="93.5703125" style="1" customWidth="1"/>
    <col min="3591" max="3591" width="17.140625" style="1" customWidth="1"/>
    <col min="3592" max="3592" width="11.7109375" style="1" customWidth="1"/>
    <col min="3593" max="3593" width="13" style="1" customWidth="1"/>
    <col min="3594" max="3594" width="13.140625" style="1" customWidth="1"/>
    <col min="3595" max="3595" width="21.5703125" style="1" customWidth="1"/>
    <col min="3596" max="3596" width="0" style="1" hidden="1" customWidth="1"/>
    <col min="3597" max="3597" width="17.42578125" style="1" customWidth="1"/>
    <col min="3598" max="3598" width="21.42578125" style="1" customWidth="1"/>
    <col min="3599" max="3599" width="19.7109375" style="1" customWidth="1"/>
    <col min="3600" max="3600" width="18.85546875" style="1" customWidth="1"/>
    <col min="3601" max="3601" width="0" style="1" hidden="1" customWidth="1"/>
    <col min="3602" max="3602" width="30.7109375" style="1" customWidth="1"/>
    <col min="3603" max="3603" width="17.140625" style="1" customWidth="1"/>
    <col min="3604" max="3604" width="18" style="1" customWidth="1"/>
    <col min="3605" max="3845" width="9.140625" style="1"/>
    <col min="3846" max="3846" width="93.5703125" style="1" customWidth="1"/>
    <col min="3847" max="3847" width="17.140625" style="1" customWidth="1"/>
    <col min="3848" max="3848" width="11.7109375" style="1" customWidth="1"/>
    <col min="3849" max="3849" width="13" style="1" customWidth="1"/>
    <col min="3850" max="3850" width="13.140625" style="1" customWidth="1"/>
    <col min="3851" max="3851" width="21.5703125" style="1" customWidth="1"/>
    <col min="3852" max="3852" width="0" style="1" hidden="1" customWidth="1"/>
    <col min="3853" max="3853" width="17.42578125" style="1" customWidth="1"/>
    <col min="3854" max="3854" width="21.42578125" style="1" customWidth="1"/>
    <col min="3855" max="3855" width="19.7109375" style="1" customWidth="1"/>
    <col min="3856" max="3856" width="18.85546875" style="1" customWidth="1"/>
    <col min="3857" max="3857" width="0" style="1" hidden="1" customWidth="1"/>
    <col min="3858" max="3858" width="30.7109375" style="1" customWidth="1"/>
    <col min="3859" max="3859" width="17.140625" style="1" customWidth="1"/>
    <col min="3860" max="3860" width="18" style="1" customWidth="1"/>
    <col min="3861" max="4101" width="9.140625" style="1"/>
    <col min="4102" max="4102" width="93.5703125" style="1" customWidth="1"/>
    <col min="4103" max="4103" width="17.140625" style="1" customWidth="1"/>
    <col min="4104" max="4104" width="11.7109375" style="1" customWidth="1"/>
    <col min="4105" max="4105" width="13" style="1" customWidth="1"/>
    <col min="4106" max="4106" width="13.140625" style="1" customWidth="1"/>
    <col min="4107" max="4107" width="21.5703125" style="1" customWidth="1"/>
    <col min="4108" max="4108" width="0" style="1" hidden="1" customWidth="1"/>
    <col min="4109" max="4109" width="17.42578125" style="1" customWidth="1"/>
    <col min="4110" max="4110" width="21.42578125" style="1" customWidth="1"/>
    <col min="4111" max="4111" width="19.7109375" style="1" customWidth="1"/>
    <col min="4112" max="4112" width="18.85546875" style="1" customWidth="1"/>
    <col min="4113" max="4113" width="0" style="1" hidden="1" customWidth="1"/>
    <col min="4114" max="4114" width="30.7109375" style="1" customWidth="1"/>
    <col min="4115" max="4115" width="17.140625" style="1" customWidth="1"/>
    <col min="4116" max="4116" width="18" style="1" customWidth="1"/>
    <col min="4117" max="4357" width="9.140625" style="1"/>
    <col min="4358" max="4358" width="93.5703125" style="1" customWidth="1"/>
    <col min="4359" max="4359" width="17.140625" style="1" customWidth="1"/>
    <col min="4360" max="4360" width="11.7109375" style="1" customWidth="1"/>
    <col min="4361" max="4361" width="13" style="1" customWidth="1"/>
    <col min="4362" max="4362" width="13.140625" style="1" customWidth="1"/>
    <col min="4363" max="4363" width="21.5703125" style="1" customWidth="1"/>
    <col min="4364" max="4364" width="0" style="1" hidden="1" customWidth="1"/>
    <col min="4365" max="4365" width="17.42578125" style="1" customWidth="1"/>
    <col min="4366" max="4366" width="21.42578125" style="1" customWidth="1"/>
    <col min="4367" max="4367" width="19.7109375" style="1" customWidth="1"/>
    <col min="4368" max="4368" width="18.85546875" style="1" customWidth="1"/>
    <col min="4369" max="4369" width="0" style="1" hidden="1" customWidth="1"/>
    <col min="4370" max="4370" width="30.7109375" style="1" customWidth="1"/>
    <col min="4371" max="4371" width="17.140625" style="1" customWidth="1"/>
    <col min="4372" max="4372" width="18" style="1" customWidth="1"/>
    <col min="4373" max="4613" width="9.140625" style="1"/>
    <col min="4614" max="4614" width="93.5703125" style="1" customWidth="1"/>
    <col min="4615" max="4615" width="17.140625" style="1" customWidth="1"/>
    <col min="4616" max="4616" width="11.7109375" style="1" customWidth="1"/>
    <col min="4617" max="4617" width="13" style="1" customWidth="1"/>
    <col min="4618" max="4618" width="13.140625" style="1" customWidth="1"/>
    <col min="4619" max="4619" width="21.5703125" style="1" customWidth="1"/>
    <col min="4620" max="4620" width="0" style="1" hidden="1" customWidth="1"/>
    <col min="4621" max="4621" width="17.42578125" style="1" customWidth="1"/>
    <col min="4622" max="4622" width="21.42578125" style="1" customWidth="1"/>
    <col min="4623" max="4623" width="19.7109375" style="1" customWidth="1"/>
    <col min="4624" max="4624" width="18.85546875" style="1" customWidth="1"/>
    <col min="4625" max="4625" width="0" style="1" hidden="1" customWidth="1"/>
    <col min="4626" max="4626" width="30.7109375" style="1" customWidth="1"/>
    <col min="4627" max="4627" width="17.140625" style="1" customWidth="1"/>
    <col min="4628" max="4628" width="18" style="1" customWidth="1"/>
    <col min="4629" max="4869" width="9.140625" style="1"/>
    <col min="4870" max="4870" width="93.5703125" style="1" customWidth="1"/>
    <col min="4871" max="4871" width="17.140625" style="1" customWidth="1"/>
    <col min="4872" max="4872" width="11.7109375" style="1" customWidth="1"/>
    <col min="4873" max="4873" width="13" style="1" customWidth="1"/>
    <col min="4874" max="4874" width="13.140625" style="1" customWidth="1"/>
    <col min="4875" max="4875" width="21.5703125" style="1" customWidth="1"/>
    <col min="4876" max="4876" width="0" style="1" hidden="1" customWidth="1"/>
    <col min="4877" max="4877" width="17.42578125" style="1" customWidth="1"/>
    <col min="4878" max="4878" width="21.42578125" style="1" customWidth="1"/>
    <col min="4879" max="4879" width="19.7109375" style="1" customWidth="1"/>
    <col min="4880" max="4880" width="18.85546875" style="1" customWidth="1"/>
    <col min="4881" max="4881" width="0" style="1" hidden="1" customWidth="1"/>
    <col min="4882" max="4882" width="30.7109375" style="1" customWidth="1"/>
    <col min="4883" max="4883" width="17.140625" style="1" customWidth="1"/>
    <col min="4884" max="4884" width="18" style="1" customWidth="1"/>
    <col min="4885" max="5125" width="9.140625" style="1"/>
    <col min="5126" max="5126" width="93.5703125" style="1" customWidth="1"/>
    <col min="5127" max="5127" width="17.140625" style="1" customWidth="1"/>
    <col min="5128" max="5128" width="11.7109375" style="1" customWidth="1"/>
    <col min="5129" max="5129" width="13" style="1" customWidth="1"/>
    <col min="5130" max="5130" width="13.140625" style="1" customWidth="1"/>
    <col min="5131" max="5131" width="21.5703125" style="1" customWidth="1"/>
    <col min="5132" max="5132" width="0" style="1" hidden="1" customWidth="1"/>
    <col min="5133" max="5133" width="17.42578125" style="1" customWidth="1"/>
    <col min="5134" max="5134" width="21.42578125" style="1" customWidth="1"/>
    <col min="5135" max="5135" width="19.7109375" style="1" customWidth="1"/>
    <col min="5136" max="5136" width="18.85546875" style="1" customWidth="1"/>
    <col min="5137" max="5137" width="0" style="1" hidden="1" customWidth="1"/>
    <col min="5138" max="5138" width="30.7109375" style="1" customWidth="1"/>
    <col min="5139" max="5139" width="17.140625" style="1" customWidth="1"/>
    <col min="5140" max="5140" width="18" style="1" customWidth="1"/>
    <col min="5141" max="5381" width="9.140625" style="1"/>
    <col min="5382" max="5382" width="93.5703125" style="1" customWidth="1"/>
    <col min="5383" max="5383" width="17.140625" style="1" customWidth="1"/>
    <col min="5384" max="5384" width="11.7109375" style="1" customWidth="1"/>
    <col min="5385" max="5385" width="13" style="1" customWidth="1"/>
    <col min="5386" max="5386" width="13.140625" style="1" customWidth="1"/>
    <col min="5387" max="5387" width="21.5703125" style="1" customWidth="1"/>
    <col min="5388" max="5388" width="0" style="1" hidden="1" customWidth="1"/>
    <col min="5389" max="5389" width="17.42578125" style="1" customWidth="1"/>
    <col min="5390" max="5390" width="21.42578125" style="1" customWidth="1"/>
    <col min="5391" max="5391" width="19.7109375" style="1" customWidth="1"/>
    <col min="5392" max="5392" width="18.85546875" style="1" customWidth="1"/>
    <col min="5393" max="5393" width="0" style="1" hidden="1" customWidth="1"/>
    <col min="5394" max="5394" width="30.7109375" style="1" customWidth="1"/>
    <col min="5395" max="5395" width="17.140625" style="1" customWidth="1"/>
    <col min="5396" max="5396" width="18" style="1" customWidth="1"/>
    <col min="5397" max="5637" width="9.140625" style="1"/>
    <col min="5638" max="5638" width="93.5703125" style="1" customWidth="1"/>
    <col min="5639" max="5639" width="17.140625" style="1" customWidth="1"/>
    <col min="5640" max="5640" width="11.7109375" style="1" customWidth="1"/>
    <col min="5641" max="5641" width="13" style="1" customWidth="1"/>
    <col min="5642" max="5642" width="13.140625" style="1" customWidth="1"/>
    <col min="5643" max="5643" width="21.5703125" style="1" customWidth="1"/>
    <col min="5644" max="5644" width="0" style="1" hidden="1" customWidth="1"/>
    <col min="5645" max="5645" width="17.42578125" style="1" customWidth="1"/>
    <col min="5646" max="5646" width="21.42578125" style="1" customWidth="1"/>
    <col min="5647" max="5647" width="19.7109375" style="1" customWidth="1"/>
    <col min="5648" max="5648" width="18.85546875" style="1" customWidth="1"/>
    <col min="5649" max="5649" width="0" style="1" hidden="1" customWidth="1"/>
    <col min="5650" max="5650" width="30.7109375" style="1" customWidth="1"/>
    <col min="5651" max="5651" width="17.140625" style="1" customWidth="1"/>
    <col min="5652" max="5652" width="18" style="1" customWidth="1"/>
    <col min="5653" max="5893" width="9.140625" style="1"/>
    <col min="5894" max="5894" width="93.5703125" style="1" customWidth="1"/>
    <col min="5895" max="5895" width="17.140625" style="1" customWidth="1"/>
    <col min="5896" max="5896" width="11.7109375" style="1" customWidth="1"/>
    <col min="5897" max="5897" width="13" style="1" customWidth="1"/>
    <col min="5898" max="5898" width="13.140625" style="1" customWidth="1"/>
    <col min="5899" max="5899" width="21.5703125" style="1" customWidth="1"/>
    <col min="5900" max="5900" width="0" style="1" hidden="1" customWidth="1"/>
    <col min="5901" max="5901" width="17.42578125" style="1" customWidth="1"/>
    <col min="5902" max="5902" width="21.42578125" style="1" customWidth="1"/>
    <col min="5903" max="5903" width="19.7109375" style="1" customWidth="1"/>
    <col min="5904" max="5904" width="18.85546875" style="1" customWidth="1"/>
    <col min="5905" max="5905" width="0" style="1" hidden="1" customWidth="1"/>
    <col min="5906" max="5906" width="30.7109375" style="1" customWidth="1"/>
    <col min="5907" max="5907" width="17.140625" style="1" customWidth="1"/>
    <col min="5908" max="5908" width="18" style="1" customWidth="1"/>
    <col min="5909" max="6149" width="9.140625" style="1"/>
    <col min="6150" max="6150" width="93.5703125" style="1" customWidth="1"/>
    <col min="6151" max="6151" width="17.140625" style="1" customWidth="1"/>
    <col min="6152" max="6152" width="11.7109375" style="1" customWidth="1"/>
    <col min="6153" max="6153" width="13" style="1" customWidth="1"/>
    <col min="6154" max="6154" width="13.140625" style="1" customWidth="1"/>
    <col min="6155" max="6155" width="21.5703125" style="1" customWidth="1"/>
    <col min="6156" max="6156" width="0" style="1" hidden="1" customWidth="1"/>
    <col min="6157" max="6157" width="17.42578125" style="1" customWidth="1"/>
    <col min="6158" max="6158" width="21.42578125" style="1" customWidth="1"/>
    <col min="6159" max="6159" width="19.7109375" style="1" customWidth="1"/>
    <col min="6160" max="6160" width="18.85546875" style="1" customWidth="1"/>
    <col min="6161" max="6161" width="0" style="1" hidden="1" customWidth="1"/>
    <col min="6162" max="6162" width="30.7109375" style="1" customWidth="1"/>
    <col min="6163" max="6163" width="17.140625" style="1" customWidth="1"/>
    <col min="6164" max="6164" width="18" style="1" customWidth="1"/>
    <col min="6165" max="6405" width="9.140625" style="1"/>
    <col min="6406" max="6406" width="93.5703125" style="1" customWidth="1"/>
    <col min="6407" max="6407" width="17.140625" style="1" customWidth="1"/>
    <col min="6408" max="6408" width="11.7109375" style="1" customWidth="1"/>
    <col min="6409" max="6409" width="13" style="1" customWidth="1"/>
    <col min="6410" max="6410" width="13.140625" style="1" customWidth="1"/>
    <col min="6411" max="6411" width="21.5703125" style="1" customWidth="1"/>
    <col min="6412" max="6412" width="0" style="1" hidden="1" customWidth="1"/>
    <col min="6413" max="6413" width="17.42578125" style="1" customWidth="1"/>
    <col min="6414" max="6414" width="21.42578125" style="1" customWidth="1"/>
    <col min="6415" max="6415" width="19.7109375" style="1" customWidth="1"/>
    <col min="6416" max="6416" width="18.85546875" style="1" customWidth="1"/>
    <col min="6417" max="6417" width="0" style="1" hidden="1" customWidth="1"/>
    <col min="6418" max="6418" width="30.7109375" style="1" customWidth="1"/>
    <col min="6419" max="6419" width="17.140625" style="1" customWidth="1"/>
    <col min="6420" max="6420" width="18" style="1" customWidth="1"/>
    <col min="6421" max="6661" width="9.140625" style="1"/>
    <col min="6662" max="6662" width="93.5703125" style="1" customWidth="1"/>
    <col min="6663" max="6663" width="17.140625" style="1" customWidth="1"/>
    <col min="6664" max="6664" width="11.7109375" style="1" customWidth="1"/>
    <col min="6665" max="6665" width="13" style="1" customWidth="1"/>
    <col min="6666" max="6666" width="13.140625" style="1" customWidth="1"/>
    <col min="6667" max="6667" width="21.5703125" style="1" customWidth="1"/>
    <col min="6668" max="6668" width="0" style="1" hidden="1" customWidth="1"/>
    <col min="6669" max="6669" width="17.42578125" style="1" customWidth="1"/>
    <col min="6670" max="6670" width="21.42578125" style="1" customWidth="1"/>
    <col min="6671" max="6671" width="19.7109375" style="1" customWidth="1"/>
    <col min="6672" max="6672" width="18.85546875" style="1" customWidth="1"/>
    <col min="6673" max="6673" width="0" style="1" hidden="1" customWidth="1"/>
    <col min="6674" max="6674" width="30.7109375" style="1" customWidth="1"/>
    <col min="6675" max="6675" width="17.140625" style="1" customWidth="1"/>
    <col min="6676" max="6676" width="18" style="1" customWidth="1"/>
    <col min="6677" max="6917" width="9.140625" style="1"/>
    <col min="6918" max="6918" width="93.5703125" style="1" customWidth="1"/>
    <col min="6919" max="6919" width="17.140625" style="1" customWidth="1"/>
    <col min="6920" max="6920" width="11.7109375" style="1" customWidth="1"/>
    <col min="6921" max="6921" width="13" style="1" customWidth="1"/>
    <col min="6922" max="6922" width="13.140625" style="1" customWidth="1"/>
    <col min="6923" max="6923" width="21.5703125" style="1" customWidth="1"/>
    <col min="6924" max="6924" width="0" style="1" hidden="1" customWidth="1"/>
    <col min="6925" max="6925" width="17.42578125" style="1" customWidth="1"/>
    <col min="6926" max="6926" width="21.42578125" style="1" customWidth="1"/>
    <col min="6927" max="6927" width="19.7109375" style="1" customWidth="1"/>
    <col min="6928" max="6928" width="18.85546875" style="1" customWidth="1"/>
    <col min="6929" max="6929" width="0" style="1" hidden="1" customWidth="1"/>
    <col min="6930" max="6930" width="30.7109375" style="1" customWidth="1"/>
    <col min="6931" max="6931" width="17.140625" style="1" customWidth="1"/>
    <col min="6932" max="6932" width="18" style="1" customWidth="1"/>
    <col min="6933" max="7173" width="9.140625" style="1"/>
    <col min="7174" max="7174" width="93.5703125" style="1" customWidth="1"/>
    <col min="7175" max="7175" width="17.140625" style="1" customWidth="1"/>
    <col min="7176" max="7176" width="11.7109375" style="1" customWidth="1"/>
    <col min="7177" max="7177" width="13" style="1" customWidth="1"/>
    <col min="7178" max="7178" width="13.140625" style="1" customWidth="1"/>
    <col min="7179" max="7179" width="21.5703125" style="1" customWidth="1"/>
    <col min="7180" max="7180" width="0" style="1" hidden="1" customWidth="1"/>
    <col min="7181" max="7181" width="17.42578125" style="1" customWidth="1"/>
    <col min="7182" max="7182" width="21.42578125" style="1" customWidth="1"/>
    <col min="7183" max="7183" width="19.7109375" style="1" customWidth="1"/>
    <col min="7184" max="7184" width="18.85546875" style="1" customWidth="1"/>
    <col min="7185" max="7185" width="0" style="1" hidden="1" customWidth="1"/>
    <col min="7186" max="7186" width="30.7109375" style="1" customWidth="1"/>
    <col min="7187" max="7187" width="17.140625" style="1" customWidth="1"/>
    <col min="7188" max="7188" width="18" style="1" customWidth="1"/>
    <col min="7189" max="7429" width="9.140625" style="1"/>
    <col min="7430" max="7430" width="93.5703125" style="1" customWidth="1"/>
    <col min="7431" max="7431" width="17.140625" style="1" customWidth="1"/>
    <col min="7432" max="7432" width="11.7109375" style="1" customWidth="1"/>
    <col min="7433" max="7433" width="13" style="1" customWidth="1"/>
    <col min="7434" max="7434" width="13.140625" style="1" customWidth="1"/>
    <col min="7435" max="7435" width="21.5703125" style="1" customWidth="1"/>
    <col min="7436" max="7436" width="0" style="1" hidden="1" customWidth="1"/>
    <col min="7437" max="7437" width="17.42578125" style="1" customWidth="1"/>
    <col min="7438" max="7438" width="21.42578125" style="1" customWidth="1"/>
    <col min="7439" max="7439" width="19.7109375" style="1" customWidth="1"/>
    <col min="7440" max="7440" width="18.85546875" style="1" customWidth="1"/>
    <col min="7441" max="7441" width="0" style="1" hidden="1" customWidth="1"/>
    <col min="7442" max="7442" width="30.7109375" style="1" customWidth="1"/>
    <col min="7443" max="7443" width="17.140625" style="1" customWidth="1"/>
    <col min="7444" max="7444" width="18" style="1" customWidth="1"/>
    <col min="7445" max="7685" width="9.140625" style="1"/>
    <col min="7686" max="7686" width="93.5703125" style="1" customWidth="1"/>
    <col min="7687" max="7687" width="17.140625" style="1" customWidth="1"/>
    <col min="7688" max="7688" width="11.7109375" style="1" customWidth="1"/>
    <col min="7689" max="7689" width="13" style="1" customWidth="1"/>
    <col min="7690" max="7690" width="13.140625" style="1" customWidth="1"/>
    <col min="7691" max="7691" width="21.5703125" style="1" customWidth="1"/>
    <col min="7692" max="7692" width="0" style="1" hidden="1" customWidth="1"/>
    <col min="7693" max="7693" width="17.42578125" style="1" customWidth="1"/>
    <col min="7694" max="7694" width="21.42578125" style="1" customWidth="1"/>
    <col min="7695" max="7695" width="19.7109375" style="1" customWidth="1"/>
    <col min="7696" max="7696" width="18.85546875" style="1" customWidth="1"/>
    <col min="7697" max="7697" width="0" style="1" hidden="1" customWidth="1"/>
    <col min="7698" max="7698" width="30.7109375" style="1" customWidth="1"/>
    <col min="7699" max="7699" width="17.140625" style="1" customWidth="1"/>
    <col min="7700" max="7700" width="18" style="1" customWidth="1"/>
    <col min="7701" max="7941" width="9.140625" style="1"/>
    <col min="7942" max="7942" width="93.5703125" style="1" customWidth="1"/>
    <col min="7943" max="7943" width="17.140625" style="1" customWidth="1"/>
    <col min="7944" max="7944" width="11.7109375" style="1" customWidth="1"/>
    <col min="7945" max="7945" width="13" style="1" customWidth="1"/>
    <col min="7946" max="7946" width="13.140625" style="1" customWidth="1"/>
    <col min="7947" max="7947" width="21.5703125" style="1" customWidth="1"/>
    <col min="7948" max="7948" width="0" style="1" hidden="1" customWidth="1"/>
    <col min="7949" max="7949" width="17.42578125" style="1" customWidth="1"/>
    <col min="7950" max="7950" width="21.42578125" style="1" customWidth="1"/>
    <col min="7951" max="7951" width="19.7109375" style="1" customWidth="1"/>
    <col min="7952" max="7952" width="18.85546875" style="1" customWidth="1"/>
    <col min="7953" max="7953" width="0" style="1" hidden="1" customWidth="1"/>
    <col min="7954" max="7954" width="30.7109375" style="1" customWidth="1"/>
    <col min="7955" max="7955" width="17.140625" style="1" customWidth="1"/>
    <col min="7956" max="7956" width="18" style="1" customWidth="1"/>
    <col min="7957" max="8197" width="9.140625" style="1"/>
    <col min="8198" max="8198" width="93.5703125" style="1" customWidth="1"/>
    <col min="8199" max="8199" width="17.140625" style="1" customWidth="1"/>
    <col min="8200" max="8200" width="11.7109375" style="1" customWidth="1"/>
    <col min="8201" max="8201" width="13" style="1" customWidth="1"/>
    <col min="8202" max="8202" width="13.140625" style="1" customWidth="1"/>
    <col min="8203" max="8203" width="21.5703125" style="1" customWidth="1"/>
    <col min="8204" max="8204" width="0" style="1" hidden="1" customWidth="1"/>
    <col min="8205" max="8205" width="17.42578125" style="1" customWidth="1"/>
    <col min="8206" max="8206" width="21.42578125" style="1" customWidth="1"/>
    <col min="8207" max="8207" width="19.7109375" style="1" customWidth="1"/>
    <col min="8208" max="8208" width="18.85546875" style="1" customWidth="1"/>
    <col min="8209" max="8209" width="0" style="1" hidden="1" customWidth="1"/>
    <col min="8210" max="8210" width="30.7109375" style="1" customWidth="1"/>
    <col min="8211" max="8211" width="17.140625" style="1" customWidth="1"/>
    <col min="8212" max="8212" width="18" style="1" customWidth="1"/>
    <col min="8213" max="8453" width="9.140625" style="1"/>
    <col min="8454" max="8454" width="93.5703125" style="1" customWidth="1"/>
    <col min="8455" max="8455" width="17.140625" style="1" customWidth="1"/>
    <col min="8456" max="8456" width="11.7109375" style="1" customWidth="1"/>
    <col min="8457" max="8457" width="13" style="1" customWidth="1"/>
    <col min="8458" max="8458" width="13.140625" style="1" customWidth="1"/>
    <col min="8459" max="8459" width="21.5703125" style="1" customWidth="1"/>
    <col min="8460" max="8460" width="0" style="1" hidden="1" customWidth="1"/>
    <col min="8461" max="8461" width="17.42578125" style="1" customWidth="1"/>
    <col min="8462" max="8462" width="21.42578125" style="1" customWidth="1"/>
    <col min="8463" max="8463" width="19.7109375" style="1" customWidth="1"/>
    <col min="8464" max="8464" width="18.85546875" style="1" customWidth="1"/>
    <col min="8465" max="8465" width="0" style="1" hidden="1" customWidth="1"/>
    <col min="8466" max="8466" width="30.7109375" style="1" customWidth="1"/>
    <col min="8467" max="8467" width="17.140625" style="1" customWidth="1"/>
    <col min="8468" max="8468" width="18" style="1" customWidth="1"/>
    <col min="8469" max="8709" width="9.140625" style="1"/>
    <col min="8710" max="8710" width="93.5703125" style="1" customWidth="1"/>
    <col min="8711" max="8711" width="17.140625" style="1" customWidth="1"/>
    <col min="8712" max="8712" width="11.7109375" style="1" customWidth="1"/>
    <col min="8713" max="8713" width="13" style="1" customWidth="1"/>
    <col min="8714" max="8714" width="13.140625" style="1" customWidth="1"/>
    <col min="8715" max="8715" width="21.5703125" style="1" customWidth="1"/>
    <col min="8716" max="8716" width="0" style="1" hidden="1" customWidth="1"/>
    <col min="8717" max="8717" width="17.42578125" style="1" customWidth="1"/>
    <col min="8718" max="8718" width="21.42578125" style="1" customWidth="1"/>
    <col min="8719" max="8719" width="19.7109375" style="1" customWidth="1"/>
    <col min="8720" max="8720" width="18.85546875" style="1" customWidth="1"/>
    <col min="8721" max="8721" width="0" style="1" hidden="1" customWidth="1"/>
    <col min="8722" max="8722" width="30.7109375" style="1" customWidth="1"/>
    <col min="8723" max="8723" width="17.140625" style="1" customWidth="1"/>
    <col min="8724" max="8724" width="18" style="1" customWidth="1"/>
    <col min="8725" max="8965" width="9.140625" style="1"/>
    <col min="8966" max="8966" width="93.5703125" style="1" customWidth="1"/>
    <col min="8967" max="8967" width="17.140625" style="1" customWidth="1"/>
    <col min="8968" max="8968" width="11.7109375" style="1" customWidth="1"/>
    <col min="8969" max="8969" width="13" style="1" customWidth="1"/>
    <col min="8970" max="8970" width="13.140625" style="1" customWidth="1"/>
    <col min="8971" max="8971" width="21.5703125" style="1" customWidth="1"/>
    <col min="8972" max="8972" width="0" style="1" hidden="1" customWidth="1"/>
    <col min="8973" max="8973" width="17.42578125" style="1" customWidth="1"/>
    <col min="8974" max="8974" width="21.42578125" style="1" customWidth="1"/>
    <col min="8975" max="8975" width="19.7109375" style="1" customWidth="1"/>
    <col min="8976" max="8976" width="18.85546875" style="1" customWidth="1"/>
    <col min="8977" max="8977" width="0" style="1" hidden="1" customWidth="1"/>
    <col min="8978" max="8978" width="30.7109375" style="1" customWidth="1"/>
    <col min="8979" max="8979" width="17.140625" style="1" customWidth="1"/>
    <col min="8980" max="8980" width="18" style="1" customWidth="1"/>
    <col min="8981" max="9221" width="9.140625" style="1"/>
    <col min="9222" max="9222" width="93.5703125" style="1" customWidth="1"/>
    <col min="9223" max="9223" width="17.140625" style="1" customWidth="1"/>
    <col min="9224" max="9224" width="11.7109375" style="1" customWidth="1"/>
    <col min="9225" max="9225" width="13" style="1" customWidth="1"/>
    <col min="9226" max="9226" width="13.140625" style="1" customWidth="1"/>
    <col min="9227" max="9227" width="21.5703125" style="1" customWidth="1"/>
    <col min="9228" max="9228" width="0" style="1" hidden="1" customWidth="1"/>
    <col min="9229" max="9229" width="17.42578125" style="1" customWidth="1"/>
    <col min="9230" max="9230" width="21.42578125" style="1" customWidth="1"/>
    <col min="9231" max="9231" width="19.7109375" style="1" customWidth="1"/>
    <col min="9232" max="9232" width="18.85546875" style="1" customWidth="1"/>
    <col min="9233" max="9233" width="0" style="1" hidden="1" customWidth="1"/>
    <col min="9234" max="9234" width="30.7109375" style="1" customWidth="1"/>
    <col min="9235" max="9235" width="17.140625" style="1" customWidth="1"/>
    <col min="9236" max="9236" width="18" style="1" customWidth="1"/>
    <col min="9237" max="9477" width="9.140625" style="1"/>
    <col min="9478" max="9478" width="93.5703125" style="1" customWidth="1"/>
    <col min="9479" max="9479" width="17.140625" style="1" customWidth="1"/>
    <col min="9480" max="9480" width="11.7109375" style="1" customWidth="1"/>
    <col min="9481" max="9481" width="13" style="1" customWidth="1"/>
    <col min="9482" max="9482" width="13.140625" style="1" customWidth="1"/>
    <col min="9483" max="9483" width="21.5703125" style="1" customWidth="1"/>
    <col min="9484" max="9484" width="0" style="1" hidden="1" customWidth="1"/>
    <col min="9485" max="9485" width="17.42578125" style="1" customWidth="1"/>
    <col min="9486" max="9486" width="21.42578125" style="1" customWidth="1"/>
    <col min="9487" max="9487" width="19.7109375" style="1" customWidth="1"/>
    <col min="9488" max="9488" width="18.85546875" style="1" customWidth="1"/>
    <col min="9489" max="9489" width="0" style="1" hidden="1" customWidth="1"/>
    <col min="9490" max="9490" width="30.7109375" style="1" customWidth="1"/>
    <col min="9491" max="9491" width="17.140625" style="1" customWidth="1"/>
    <col min="9492" max="9492" width="18" style="1" customWidth="1"/>
    <col min="9493" max="9733" width="9.140625" style="1"/>
    <col min="9734" max="9734" width="93.5703125" style="1" customWidth="1"/>
    <col min="9735" max="9735" width="17.140625" style="1" customWidth="1"/>
    <col min="9736" max="9736" width="11.7109375" style="1" customWidth="1"/>
    <col min="9737" max="9737" width="13" style="1" customWidth="1"/>
    <col min="9738" max="9738" width="13.140625" style="1" customWidth="1"/>
    <col min="9739" max="9739" width="21.5703125" style="1" customWidth="1"/>
    <col min="9740" max="9740" width="0" style="1" hidden="1" customWidth="1"/>
    <col min="9741" max="9741" width="17.42578125" style="1" customWidth="1"/>
    <col min="9742" max="9742" width="21.42578125" style="1" customWidth="1"/>
    <col min="9743" max="9743" width="19.7109375" style="1" customWidth="1"/>
    <col min="9744" max="9744" width="18.85546875" style="1" customWidth="1"/>
    <col min="9745" max="9745" width="0" style="1" hidden="1" customWidth="1"/>
    <col min="9746" max="9746" width="30.7109375" style="1" customWidth="1"/>
    <col min="9747" max="9747" width="17.140625" style="1" customWidth="1"/>
    <col min="9748" max="9748" width="18" style="1" customWidth="1"/>
    <col min="9749" max="9989" width="9.140625" style="1"/>
    <col min="9990" max="9990" width="93.5703125" style="1" customWidth="1"/>
    <col min="9991" max="9991" width="17.140625" style="1" customWidth="1"/>
    <col min="9992" max="9992" width="11.7109375" style="1" customWidth="1"/>
    <col min="9993" max="9993" width="13" style="1" customWidth="1"/>
    <col min="9994" max="9994" width="13.140625" style="1" customWidth="1"/>
    <col min="9995" max="9995" width="21.5703125" style="1" customWidth="1"/>
    <col min="9996" max="9996" width="0" style="1" hidden="1" customWidth="1"/>
    <col min="9997" max="9997" width="17.42578125" style="1" customWidth="1"/>
    <col min="9998" max="9998" width="21.42578125" style="1" customWidth="1"/>
    <col min="9999" max="9999" width="19.7109375" style="1" customWidth="1"/>
    <col min="10000" max="10000" width="18.85546875" style="1" customWidth="1"/>
    <col min="10001" max="10001" width="0" style="1" hidden="1" customWidth="1"/>
    <col min="10002" max="10002" width="30.7109375" style="1" customWidth="1"/>
    <col min="10003" max="10003" width="17.140625" style="1" customWidth="1"/>
    <col min="10004" max="10004" width="18" style="1" customWidth="1"/>
    <col min="10005" max="10245" width="9.140625" style="1"/>
    <col min="10246" max="10246" width="93.5703125" style="1" customWidth="1"/>
    <col min="10247" max="10247" width="17.140625" style="1" customWidth="1"/>
    <col min="10248" max="10248" width="11.7109375" style="1" customWidth="1"/>
    <col min="10249" max="10249" width="13" style="1" customWidth="1"/>
    <col min="10250" max="10250" width="13.140625" style="1" customWidth="1"/>
    <col min="10251" max="10251" width="21.5703125" style="1" customWidth="1"/>
    <col min="10252" max="10252" width="0" style="1" hidden="1" customWidth="1"/>
    <col min="10253" max="10253" width="17.42578125" style="1" customWidth="1"/>
    <col min="10254" max="10254" width="21.42578125" style="1" customWidth="1"/>
    <col min="10255" max="10255" width="19.7109375" style="1" customWidth="1"/>
    <col min="10256" max="10256" width="18.85546875" style="1" customWidth="1"/>
    <col min="10257" max="10257" width="0" style="1" hidden="1" customWidth="1"/>
    <col min="10258" max="10258" width="30.7109375" style="1" customWidth="1"/>
    <col min="10259" max="10259" width="17.140625" style="1" customWidth="1"/>
    <col min="10260" max="10260" width="18" style="1" customWidth="1"/>
    <col min="10261" max="10501" width="9.140625" style="1"/>
    <col min="10502" max="10502" width="93.5703125" style="1" customWidth="1"/>
    <col min="10503" max="10503" width="17.140625" style="1" customWidth="1"/>
    <col min="10504" max="10504" width="11.7109375" style="1" customWidth="1"/>
    <col min="10505" max="10505" width="13" style="1" customWidth="1"/>
    <col min="10506" max="10506" width="13.140625" style="1" customWidth="1"/>
    <col min="10507" max="10507" width="21.5703125" style="1" customWidth="1"/>
    <col min="10508" max="10508" width="0" style="1" hidden="1" customWidth="1"/>
    <col min="10509" max="10509" width="17.42578125" style="1" customWidth="1"/>
    <col min="10510" max="10510" width="21.42578125" style="1" customWidth="1"/>
    <col min="10511" max="10511" width="19.7109375" style="1" customWidth="1"/>
    <col min="10512" max="10512" width="18.85546875" style="1" customWidth="1"/>
    <col min="10513" max="10513" width="0" style="1" hidden="1" customWidth="1"/>
    <col min="10514" max="10514" width="30.7109375" style="1" customWidth="1"/>
    <col min="10515" max="10515" width="17.140625" style="1" customWidth="1"/>
    <col min="10516" max="10516" width="18" style="1" customWidth="1"/>
    <col min="10517" max="10757" width="9.140625" style="1"/>
    <col min="10758" max="10758" width="93.5703125" style="1" customWidth="1"/>
    <col min="10759" max="10759" width="17.140625" style="1" customWidth="1"/>
    <col min="10760" max="10760" width="11.7109375" style="1" customWidth="1"/>
    <col min="10761" max="10761" width="13" style="1" customWidth="1"/>
    <col min="10762" max="10762" width="13.140625" style="1" customWidth="1"/>
    <col min="10763" max="10763" width="21.5703125" style="1" customWidth="1"/>
    <col min="10764" max="10764" width="0" style="1" hidden="1" customWidth="1"/>
    <col min="10765" max="10765" width="17.42578125" style="1" customWidth="1"/>
    <col min="10766" max="10766" width="21.42578125" style="1" customWidth="1"/>
    <col min="10767" max="10767" width="19.7109375" style="1" customWidth="1"/>
    <col min="10768" max="10768" width="18.85546875" style="1" customWidth="1"/>
    <col min="10769" max="10769" width="0" style="1" hidden="1" customWidth="1"/>
    <col min="10770" max="10770" width="30.7109375" style="1" customWidth="1"/>
    <col min="10771" max="10771" width="17.140625" style="1" customWidth="1"/>
    <col min="10772" max="10772" width="18" style="1" customWidth="1"/>
    <col min="10773" max="11013" width="9.140625" style="1"/>
    <col min="11014" max="11014" width="93.5703125" style="1" customWidth="1"/>
    <col min="11015" max="11015" width="17.140625" style="1" customWidth="1"/>
    <col min="11016" max="11016" width="11.7109375" style="1" customWidth="1"/>
    <col min="11017" max="11017" width="13" style="1" customWidth="1"/>
    <col min="11018" max="11018" width="13.140625" style="1" customWidth="1"/>
    <col min="11019" max="11019" width="21.5703125" style="1" customWidth="1"/>
    <col min="11020" max="11020" width="0" style="1" hidden="1" customWidth="1"/>
    <col min="11021" max="11021" width="17.42578125" style="1" customWidth="1"/>
    <col min="11022" max="11022" width="21.42578125" style="1" customWidth="1"/>
    <col min="11023" max="11023" width="19.7109375" style="1" customWidth="1"/>
    <col min="11024" max="11024" width="18.85546875" style="1" customWidth="1"/>
    <col min="11025" max="11025" width="0" style="1" hidden="1" customWidth="1"/>
    <col min="11026" max="11026" width="30.7109375" style="1" customWidth="1"/>
    <col min="11027" max="11027" width="17.140625" style="1" customWidth="1"/>
    <col min="11028" max="11028" width="18" style="1" customWidth="1"/>
    <col min="11029" max="11269" width="9.140625" style="1"/>
    <col min="11270" max="11270" width="93.5703125" style="1" customWidth="1"/>
    <col min="11271" max="11271" width="17.140625" style="1" customWidth="1"/>
    <col min="11272" max="11272" width="11.7109375" style="1" customWidth="1"/>
    <col min="11273" max="11273" width="13" style="1" customWidth="1"/>
    <col min="11274" max="11274" width="13.140625" style="1" customWidth="1"/>
    <col min="11275" max="11275" width="21.5703125" style="1" customWidth="1"/>
    <col min="11276" max="11276" width="0" style="1" hidden="1" customWidth="1"/>
    <col min="11277" max="11277" width="17.42578125" style="1" customWidth="1"/>
    <col min="11278" max="11278" width="21.42578125" style="1" customWidth="1"/>
    <col min="11279" max="11279" width="19.7109375" style="1" customWidth="1"/>
    <col min="11280" max="11280" width="18.85546875" style="1" customWidth="1"/>
    <col min="11281" max="11281" width="0" style="1" hidden="1" customWidth="1"/>
    <col min="11282" max="11282" width="30.7109375" style="1" customWidth="1"/>
    <col min="11283" max="11283" width="17.140625" style="1" customWidth="1"/>
    <col min="11284" max="11284" width="18" style="1" customWidth="1"/>
    <col min="11285" max="11525" width="9.140625" style="1"/>
    <col min="11526" max="11526" width="93.5703125" style="1" customWidth="1"/>
    <col min="11527" max="11527" width="17.140625" style="1" customWidth="1"/>
    <col min="11528" max="11528" width="11.7109375" style="1" customWidth="1"/>
    <col min="11529" max="11529" width="13" style="1" customWidth="1"/>
    <col min="11530" max="11530" width="13.140625" style="1" customWidth="1"/>
    <col min="11531" max="11531" width="21.5703125" style="1" customWidth="1"/>
    <col min="11532" max="11532" width="0" style="1" hidden="1" customWidth="1"/>
    <col min="11533" max="11533" width="17.42578125" style="1" customWidth="1"/>
    <col min="11534" max="11534" width="21.42578125" style="1" customWidth="1"/>
    <col min="11535" max="11535" width="19.7109375" style="1" customWidth="1"/>
    <col min="11536" max="11536" width="18.85546875" style="1" customWidth="1"/>
    <col min="11537" max="11537" width="0" style="1" hidden="1" customWidth="1"/>
    <col min="11538" max="11538" width="30.7109375" style="1" customWidth="1"/>
    <col min="11539" max="11539" width="17.140625" style="1" customWidth="1"/>
    <col min="11540" max="11540" width="18" style="1" customWidth="1"/>
    <col min="11541" max="11781" width="9.140625" style="1"/>
    <col min="11782" max="11782" width="93.5703125" style="1" customWidth="1"/>
    <col min="11783" max="11783" width="17.140625" style="1" customWidth="1"/>
    <col min="11784" max="11784" width="11.7109375" style="1" customWidth="1"/>
    <col min="11785" max="11785" width="13" style="1" customWidth="1"/>
    <col min="11786" max="11786" width="13.140625" style="1" customWidth="1"/>
    <col min="11787" max="11787" width="21.5703125" style="1" customWidth="1"/>
    <col min="11788" max="11788" width="0" style="1" hidden="1" customWidth="1"/>
    <col min="11789" max="11789" width="17.42578125" style="1" customWidth="1"/>
    <col min="11790" max="11790" width="21.42578125" style="1" customWidth="1"/>
    <col min="11791" max="11791" width="19.7109375" style="1" customWidth="1"/>
    <col min="11792" max="11792" width="18.85546875" style="1" customWidth="1"/>
    <col min="11793" max="11793" width="0" style="1" hidden="1" customWidth="1"/>
    <col min="11794" max="11794" width="30.7109375" style="1" customWidth="1"/>
    <col min="11795" max="11795" width="17.140625" style="1" customWidth="1"/>
    <col min="11796" max="11796" width="18" style="1" customWidth="1"/>
    <col min="11797" max="12037" width="9.140625" style="1"/>
    <col min="12038" max="12038" width="93.5703125" style="1" customWidth="1"/>
    <col min="12039" max="12039" width="17.140625" style="1" customWidth="1"/>
    <col min="12040" max="12040" width="11.7109375" style="1" customWidth="1"/>
    <col min="12041" max="12041" width="13" style="1" customWidth="1"/>
    <col min="12042" max="12042" width="13.140625" style="1" customWidth="1"/>
    <col min="12043" max="12043" width="21.5703125" style="1" customWidth="1"/>
    <col min="12044" max="12044" width="0" style="1" hidden="1" customWidth="1"/>
    <col min="12045" max="12045" width="17.42578125" style="1" customWidth="1"/>
    <col min="12046" max="12046" width="21.42578125" style="1" customWidth="1"/>
    <col min="12047" max="12047" width="19.7109375" style="1" customWidth="1"/>
    <col min="12048" max="12048" width="18.85546875" style="1" customWidth="1"/>
    <col min="12049" max="12049" width="0" style="1" hidden="1" customWidth="1"/>
    <col min="12050" max="12050" width="30.7109375" style="1" customWidth="1"/>
    <col min="12051" max="12051" width="17.140625" style="1" customWidth="1"/>
    <col min="12052" max="12052" width="18" style="1" customWidth="1"/>
    <col min="12053" max="12293" width="9.140625" style="1"/>
    <col min="12294" max="12294" width="93.5703125" style="1" customWidth="1"/>
    <col min="12295" max="12295" width="17.140625" style="1" customWidth="1"/>
    <col min="12296" max="12296" width="11.7109375" style="1" customWidth="1"/>
    <col min="12297" max="12297" width="13" style="1" customWidth="1"/>
    <col min="12298" max="12298" width="13.140625" style="1" customWidth="1"/>
    <col min="12299" max="12299" width="21.5703125" style="1" customWidth="1"/>
    <col min="12300" max="12300" width="0" style="1" hidden="1" customWidth="1"/>
    <col min="12301" max="12301" width="17.42578125" style="1" customWidth="1"/>
    <col min="12302" max="12302" width="21.42578125" style="1" customWidth="1"/>
    <col min="12303" max="12303" width="19.7109375" style="1" customWidth="1"/>
    <col min="12304" max="12304" width="18.85546875" style="1" customWidth="1"/>
    <col min="12305" max="12305" width="0" style="1" hidden="1" customWidth="1"/>
    <col min="12306" max="12306" width="30.7109375" style="1" customWidth="1"/>
    <col min="12307" max="12307" width="17.140625" style="1" customWidth="1"/>
    <col min="12308" max="12308" width="18" style="1" customWidth="1"/>
    <col min="12309" max="12549" width="9.140625" style="1"/>
    <col min="12550" max="12550" width="93.5703125" style="1" customWidth="1"/>
    <col min="12551" max="12551" width="17.140625" style="1" customWidth="1"/>
    <col min="12552" max="12552" width="11.7109375" style="1" customWidth="1"/>
    <col min="12553" max="12553" width="13" style="1" customWidth="1"/>
    <col min="12554" max="12554" width="13.140625" style="1" customWidth="1"/>
    <col min="12555" max="12555" width="21.5703125" style="1" customWidth="1"/>
    <col min="12556" max="12556" width="0" style="1" hidden="1" customWidth="1"/>
    <col min="12557" max="12557" width="17.42578125" style="1" customWidth="1"/>
    <col min="12558" max="12558" width="21.42578125" style="1" customWidth="1"/>
    <col min="12559" max="12559" width="19.7109375" style="1" customWidth="1"/>
    <col min="12560" max="12560" width="18.85546875" style="1" customWidth="1"/>
    <col min="12561" max="12561" width="0" style="1" hidden="1" customWidth="1"/>
    <col min="12562" max="12562" width="30.7109375" style="1" customWidth="1"/>
    <col min="12563" max="12563" width="17.140625" style="1" customWidth="1"/>
    <col min="12564" max="12564" width="18" style="1" customWidth="1"/>
    <col min="12565" max="12805" width="9.140625" style="1"/>
    <col min="12806" max="12806" width="93.5703125" style="1" customWidth="1"/>
    <col min="12807" max="12807" width="17.140625" style="1" customWidth="1"/>
    <col min="12808" max="12808" width="11.7109375" style="1" customWidth="1"/>
    <col min="12809" max="12809" width="13" style="1" customWidth="1"/>
    <col min="12810" max="12810" width="13.140625" style="1" customWidth="1"/>
    <col min="12811" max="12811" width="21.5703125" style="1" customWidth="1"/>
    <col min="12812" max="12812" width="0" style="1" hidden="1" customWidth="1"/>
    <col min="12813" max="12813" width="17.42578125" style="1" customWidth="1"/>
    <col min="12814" max="12814" width="21.42578125" style="1" customWidth="1"/>
    <col min="12815" max="12815" width="19.7109375" style="1" customWidth="1"/>
    <col min="12816" max="12816" width="18.85546875" style="1" customWidth="1"/>
    <col min="12817" max="12817" width="0" style="1" hidden="1" customWidth="1"/>
    <col min="12818" max="12818" width="30.7109375" style="1" customWidth="1"/>
    <col min="12819" max="12819" width="17.140625" style="1" customWidth="1"/>
    <col min="12820" max="12820" width="18" style="1" customWidth="1"/>
    <col min="12821" max="13061" width="9.140625" style="1"/>
    <col min="13062" max="13062" width="93.5703125" style="1" customWidth="1"/>
    <col min="13063" max="13063" width="17.140625" style="1" customWidth="1"/>
    <col min="13064" max="13064" width="11.7109375" style="1" customWidth="1"/>
    <col min="13065" max="13065" width="13" style="1" customWidth="1"/>
    <col min="13066" max="13066" width="13.140625" style="1" customWidth="1"/>
    <col min="13067" max="13067" width="21.5703125" style="1" customWidth="1"/>
    <col min="13068" max="13068" width="0" style="1" hidden="1" customWidth="1"/>
    <col min="13069" max="13069" width="17.42578125" style="1" customWidth="1"/>
    <col min="13070" max="13070" width="21.42578125" style="1" customWidth="1"/>
    <col min="13071" max="13071" width="19.7109375" style="1" customWidth="1"/>
    <col min="13072" max="13072" width="18.85546875" style="1" customWidth="1"/>
    <col min="13073" max="13073" width="0" style="1" hidden="1" customWidth="1"/>
    <col min="13074" max="13074" width="30.7109375" style="1" customWidth="1"/>
    <col min="13075" max="13075" width="17.140625" style="1" customWidth="1"/>
    <col min="13076" max="13076" width="18" style="1" customWidth="1"/>
    <col min="13077" max="13317" width="9.140625" style="1"/>
    <col min="13318" max="13318" width="93.5703125" style="1" customWidth="1"/>
    <col min="13319" max="13319" width="17.140625" style="1" customWidth="1"/>
    <col min="13320" max="13320" width="11.7109375" style="1" customWidth="1"/>
    <col min="13321" max="13321" width="13" style="1" customWidth="1"/>
    <col min="13322" max="13322" width="13.140625" style="1" customWidth="1"/>
    <col min="13323" max="13323" width="21.5703125" style="1" customWidth="1"/>
    <col min="13324" max="13324" width="0" style="1" hidden="1" customWidth="1"/>
    <col min="13325" max="13325" width="17.42578125" style="1" customWidth="1"/>
    <col min="13326" max="13326" width="21.42578125" style="1" customWidth="1"/>
    <col min="13327" max="13327" width="19.7109375" style="1" customWidth="1"/>
    <col min="13328" max="13328" width="18.85546875" style="1" customWidth="1"/>
    <col min="13329" max="13329" width="0" style="1" hidden="1" customWidth="1"/>
    <col min="13330" max="13330" width="30.7109375" style="1" customWidth="1"/>
    <col min="13331" max="13331" width="17.140625" style="1" customWidth="1"/>
    <col min="13332" max="13332" width="18" style="1" customWidth="1"/>
    <col min="13333" max="13573" width="9.140625" style="1"/>
    <col min="13574" max="13574" width="93.5703125" style="1" customWidth="1"/>
    <col min="13575" max="13575" width="17.140625" style="1" customWidth="1"/>
    <col min="13576" max="13576" width="11.7109375" style="1" customWidth="1"/>
    <col min="13577" max="13577" width="13" style="1" customWidth="1"/>
    <col min="13578" max="13578" width="13.140625" style="1" customWidth="1"/>
    <col min="13579" max="13579" width="21.5703125" style="1" customWidth="1"/>
    <col min="13580" max="13580" width="0" style="1" hidden="1" customWidth="1"/>
    <col min="13581" max="13581" width="17.42578125" style="1" customWidth="1"/>
    <col min="13582" max="13582" width="21.42578125" style="1" customWidth="1"/>
    <col min="13583" max="13583" width="19.7109375" style="1" customWidth="1"/>
    <col min="13584" max="13584" width="18.85546875" style="1" customWidth="1"/>
    <col min="13585" max="13585" width="0" style="1" hidden="1" customWidth="1"/>
    <col min="13586" max="13586" width="30.7109375" style="1" customWidth="1"/>
    <col min="13587" max="13587" width="17.140625" style="1" customWidth="1"/>
    <col min="13588" max="13588" width="18" style="1" customWidth="1"/>
    <col min="13589" max="13829" width="9.140625" style="1"/>
    <col min="13830" max="13830" width="93.5703125" style="1" customWidth="1"/>
    <col min="13831" max="13831" width="17.140625" style="1" customWidth="1"/>
    <col min="13832" max="13832" width="11.7109375" style="1" customWidth="1"/>
    <col min="13833" max="13833" width="13" style="1" customWidth="1"/>
    <col min="13834" max="13834" width="13.140625" style="1" customWidth="1"/>
    <col min="13835" max="13835" width="21.5703125" style="1" customWidth="1"/>
    <col min="13836" max="13836" width="0" style="1" hidden="1" customWidth="1"/>
    <col min="13837" max="13837" width="17.42578125" style="1" customWidth="1"/>
    <col min="13838" max="13838" width="21.42578125" style="1" customWidth="1"/>
    <col min="13839" max="13839" width="19.7109375" style="1" customWidth="1"/>
    <col min="13840" max="13840" width="18.85546875" style="1" customWidth="1"/>
    <col min="13841" max="13841" width="0" style="1" hidden="1" customWidth="1"/>
    <col min="13842" max="13842" width="30.7109375" style="1" customWidth="1"/>
    <col min="13843" max="13843" width="17.140625" style="1" customWidth="1"/>
    <col min="13844" max="13844" width="18" style="1" customWidth="1"/>
    <col min="13845" max="14085" width="9.140625" style="1"/>
    <col min="14086" max="14086" width="93.5703125" style="1" customWidth="1"/>
    <col min="14087" max="14087" width="17.140625" style="1" customWidth="1"/>
    <col min="14088" max="14088" width="11.7109375" style="1" customWidth="1"/>
    <col min="14089" max="14089" width="13" style="1" customWidth="1"/>
    <col min="14090" max="14090" width="13.140625" style="1" customWidth="1"/>
    <col min="14091" max="14091" width="21.5703125" style="1" customWidth="1"/>
    <col min="14092" max="14092" width="0" style="1" hidden="1" customWidth="1"/>
    <col min="14093" max="14093" width="17.42578125" style="1" customWidth="1"/>
    <col min="14094" max="14094" width="21.42578125" style="1" customWidth="1"/>
    <col min="14095" max="14095" width="19.7109375" style="1" customWidth="1"/>
    <col min="14096" max="14096" width="18.85546875" style="1" customWidth="1"/>
    <col min="14097" max="14097" width="0" style="1" hidden="1" customWidth="1"/>
    <col min="14098" max="14098" width="30.7109375" style="1" customWidth="1"/>
    <col min="14099" max="14099" width="17.140625" style="1" customWidth="1"/>
    <col min="14100" max="14100" width="18" style="1" customWidth="1"/>
    <col min="14101" max="14341" width="9.140625" style="1"/>
    <col min="14342" max="14342" width="93.5703125" style="1" customWidth="1"/>
    <col min="14343" max="14343" width="17.140625" style="1" customWidth="1"/>
    <col min="14344" max="14344" width="11.7109375" style="1" customWidth="1"/>
    <col min="14345" max="14345" width="13" style="1" customWidth="1"/>
    <col min="14346" max="14346" width="13.140625" style="1" customWidth="1"/>
    <col min="14347" max="14347" width="21.5703125" style="1" customWidth="1"/>
    <col min="14348" max="14348" width="0" style="1" hidden="1" customWidth="1"/>
    <col min="14349" max="14349" width="17.42578125" style="1" customWidth="1"/>
    <col min="14350" max="14350" width="21.42578125" style="1" customWidth="1"/>
    <col min="14351" max="14351" width="19.7109375" style="1" customWidth="1"/>
    <col min="14352" max="14352" width="18.85546875" style="1" customWidth="1"/>
    <col min="14353" max="14353" width="0" style="1" hidden="1" customWidth="1"/>
    <col min="14354" max="14354" width="30.7109375" style="1" customWidth="1"/>
    <col min="14355" max="14355" width="17.140625" style="1" customWidth="1"/>
    <col min="14356" max="14356" width="18" style="1" customWidth="1"/>
    <col min="14357" max="14597" width="9.140625" style="1"/>
    <col min="14598" max="14598" width="93.5703125" style="1" customWidth="1"/>
    <col min="14599" max="14599" width="17.140625" style="1" customWidth="1"/>
    <col min="14600" max="14600" width="11.7109375" style="1" customWidth="1"/>
    <col min="14601" max="14601" width="13" style="1" customWidth="1"/>
    <col min="14602" max="14602" width="13.140625" style="1" customWidth="1"/>
    <col min="14603" max="14603" width="21.5703125" style="1" customWidth="1"/>
    <col min="14604" max="14604" width="0" style="1" hidden="1" customWidth="1"/>
    <col min="14605" max="14605" width="17.42578125" style="1" customWidth="1"/>
    <col min="14606" max="14606" width="21.42578125" style="1" customWidth="1"/>
    <col min="14607" max="14607" width="19.7109375" style="1" customWidth="1"/>
    <col min="14608" max="14608" width="18.85546875" style="1" customWidth="1"/>
    <col min="14609" max="14609" width="0" style="1" hidden="1" customWidth="1"/>
    <col min="14610" max="14610" width="30.7109375" style="1" customWidth="1"/>
    <col min="14611" max="14611" width="17.140625" style="1" customWidth="1"/>
    <col min="14612" max="14612" width="18" style="1" customWidth="1"/>
    <col min="14613" max="14853" width="9.140625" style="1"/>
    <col min="14854" max="14854" width="93.5703125" style="1" customWidth="1"/>
    <col min="14855" max="14855" width="17.140625" style="1" customWidth="1"/>
    <col min="14856" max="14856" width="11.7109375" style="1" customWidth="1"/>
    <col min="14857" max="14857" width="13" style="1" customWidth="1"/>
    <col min="14858" max="14858" width="13.140625" style="1" customWidth="1"/>
    <col min="14859" max="14859" width="21.5703125" style="1" customWidth="1"/>
    <col min="14860" max="14860" width="0" style="1" hidden="1" customWidth="1"/>
    <col min="14861" max="14861" width="17.42578125" style="1" customWidth="1"/>
    <col min="14862" max="14862" width="21.42578125" style="1" customWidth="1"/>
    <col min="14863" max="14863" width="19.7109375" style="1" customWidth="1"/>
    <col min="14864" max="14864" width="18.85546875" style="1" customWidth="1"/>
    <col min="14865" max="14865" width="0" style="1" hidden="1" customWidth="1"/>
    <col min="14866" max="14866" width="30.7109375" style="1" customWidth="1"/>
    <col min="14867" max="14867" width="17.140625" style="1" customWidth="1"/>
    <col min="14868" max="14868" width="18" style="1" customWidth="1"/>
    <col min="14869" max="15109" width="9.140625" style="1"/>
    <col min="15110" max="15110" width="93.5703125" style="1" customWidth="1"/>
    <col min="15111" max="15111" width="17.140625" style="1" customWidth="1"/>
    <col min="15112" max="15112" width="11.7109375" style="1" customWidth="1"/>
    <col min="15113" max="15113" width="13" style="1" customWidth="1"/>
    <col min="15114" max="15114" width="13.140625" style="1" customWidth="1"/>
    <col min="15115" max="15115" width="21.5703125" style="1" customWidth="1"/>
    <col min="15116" max="15116" width="0" style="1" hidden="1" customWidth="1"/>
    <col min="15117" max="15117" width="17.42578125" style="1" customWidth="1"/>
    <col min="15118" max="15118" width="21.42578125" style="1" customWidth="1"/>
    <col min="15119" max="15119" width="19.7109375" style="1" customWidth="1"/>
    <col min="15120" max="15120" width="18.85546875" style="1" customWidth="1"/>
    <col min="15121" max="15121" width="0" style="1" hidden="1" customWidth="1"/>
    <col min="15122" max="15122" width="30.7109375" style="1" customWidth="1"/>
    <col min="15123" max="15123" width="17.140625" style="1" customWidth="1"/>
    <col min="15124" max="15124" width="18" style="1" customWidth="1"/>
    <col min="15125" max="15365" width="9.140625" style="1"/>
    <col min="15366" max="15366" width="93.5703125" style="1" customWidth="1"/>
    <col min="15367" max="15367" width="17.140625" style="1" customWidth="1"/>
    <col min="15368" max="15368" width="11.7109375" style="1" customWidth="1"/>
    <col min="15369" max="15369" width="13" style="1" customWidth="1"/>
    <col min="15370" max="15370" width="13.140625" style="1" customWidth="1"/>
    <col min="15371" max="15371" width="21.5703125" style="1" customWidth="1"/>
    <col min="15372" max="15372" width="0" style="1" hidden="1" customWidth="1"/>
    <col min="15373" max="15373" width="17.42578125" style="1" customWidth="1"/>
    <col min="15374" max="15374" width="21.42578125" style="1" customWidth="1"/>
    <col min="15375" max="15375" width="19.7109375" style="1" customWidth="1"/>
    <col min="15376" max="15376" width="18.85546875" style="1" customWidth="1"/>
    <col min="15377" max="15377" width="0" style="1" hidden="1" customWidth="1"/>
    <col min="15378" max="15378" width="30.7109375" style="1" customWidth="1"/>
    <col min="15379" max="15379" width="17.140625" style="1" customWidth="1"/>
    <col min="15380" max="15380" width="18" style="1" customWidth="1"/>
    <col min="15381" max="15621" width="9.140625" style="1"/>
    <col min="15622" max="15622" width="93.5703125" style="1" customWidth="1"/>
    <col min="15623" max="15623" width="17.140625" style="1" customWidth="1"/>
    <col min="15624" max="15624" width="11.7109375" style="1" customWidth="1"/>
    <col min="15625" max="15625" width="13" style="1" customWidth="1"/>
    <col min="15626" max="15626" width="13.140625" style="1" customWidth="1"/>
    <col min="15627" max="15627" width="21.5703125" style="1" customWidth="1"/>
    <col min="15628" max="15628" width="0" style="1" hidden="1" customWidth="1"/>
    <col min="15629" max="15629" width="17.42578125" style="1" customWidth="1"/>
    <col min="15630" max="15630" width="21.42578125" style="1" customWidth="1"/>
    <col min="15631" max="15631" width="19.7109375" style="1" customWidth="1"/>
    <col min="15632" max="15632" width="18.85546875" style="1" customWidth="1"/>
    <col min="15633" max="15633" width="0" style="1" hidden="1" customWidth="1"/>
    <col min="15634" max="15634" width="30.7109375" style="1" customWidth="1"/>
    <col min="15635" max="15635" width="17.140625" style="1" customWidth="1"/>
    <col min="15636" max="15636" width="18" style="1" customWidth="1"/>
    <col min="15637" max="15877" width="9.140625" style="1"/>
    <col min="15878" max="15878" width="93.5703125" style="1" customWidth="1"/>
    <col min="15879" max="15879" width="17.140625" style="1" customWidth="1"/>
    <col min="15880" max="15880" width="11.7109375" style="1" customWidth="1"/>
    <col min="15881" max="15881" width="13" style="1" customWidth="1"/>
    <col min="15882" max="15882" width="13.140625" style="1" customWidth="1"/>
    <col min="15883" max="15883" width="21.5703125" style="1" customWidth="1"/>
    <col min="15884" max="15884" width="0" style="1" hidden="1" customWidth="1"/>
    <col min="15885" max="15885" width="17.42578125" style="1" customWidth="1"/>
    <col min="15886" max="15886" width="21.42578125" style="1" customWidth="1"/>
    <col min="15887" max="15887" width="19.7109375" style="1" customWidth="1"/>
    <col min="15888" max="15888" width="18.85546875" style="1" customWidth="1"/>
    <col min="15889" max="15889" width="0" style="1" hidden="1" customWidth="1"/>
    <col min="15890" max="15890" width="30.7109375" style="1" customWidth="1"/>
    <col min="15891" max="15891" width="17.140625" style="1" customWidth="1"/>
    <col min="15892" max="15892" width="18" style="1" customWidth="1"/>
    <col min="15893" max="16133" width="9.140625" style="1"/>
    <col min="16134" max="16134" width="93.5703125" style="1" customWidth="1"/>
    <col min="16135" max="16135" width="17.140625" style="1" customWidth="1"/>
    <col min="16136" max="16136" width="11.7109375" style="1" customWidth="1"/>
    <col min="16137" max="16137" width="13" style="1" customWidth="1"/>
    <col min="16138" max="16138" width="13.140625" style="1" customWidth="1"/>
    <col min="16139" max="16139" width="21.5703125" style="1" customWidth="1"/>
    <col min="16140" max="16140" width="0" style="1" hidden="1" customWidth="1"/>
    <col min="16141" max="16141" width="17.42578125" style="1" customWidth="1"/>
    <col min="16142" max="16142" width="21.42578125" style="1" customWidth="1"/>
    <col min="16143" max="16143" width="19.7109375" style="1" customWidth="1"/>
    <col min="16144" max="16144" width="18.85546875" style="1" customWidth="1"/>
    <col min="16145" max="16145" width="0" style="1" hidden="1" customWidth="1"/>
    <col min="16146" max="16146" width="30.7109375" style="1" customWidth="1"/>
    <col min="16147" max="16147" width="17.140625" style="1" customWidth="1"/>
    <col min="16148" max="16148" width="18" style="1" customWidth="1"/>
    <col min="16149" max="16384" width="9.140625" style="1"/>
  </cols>
  <sheetData>
    <row r="1" spans="1:24" ht="22.5" customHeight="1" x14ac:dyDescent="0.2">
      <c r="A1" s="1214" t="s">
        <v>0</v>
      </c>
      <c r="B1" s="1214"/>
      <c r="C1" s="1214"/>
      <c r="D1" s="1214"/>
      <c r="E1" s="1214"/>
      <c r="F1" s="1214"/>
      <c r="G1" s="1214"/>
      <c r="H1" s="1214"/>
      <c r="I1" s="2"/>
      <c r="M1" s="2"/>
      <c r="N1" s="2"/>
      <c r="O1" s="2"/>
      <c r="P1" s="2"/>
      <c r="Q1" s="2"/>
      <c r="R1" s="2"/>
      <c r="S1" s="3"/>
    </row>
    <row r="2" spans="1:24" x14ac:dyDescent="0.2">
      <c r="H2" s="5"/>
      <c r="I2" s="5"/>
      <c r="M2" s="5"/>
      <c r="N2" s="5"/>
      <c r="O2" s="5"/>
      <c r="P2" s="5"/>
      <c r="Q2" s="5"/>
      <c r="R2" s="5"/>
      <c r="S2" s="1" t="s">
        <v>1</v>
      </c>
    </row>
    <row r="3" spans="1:24" s="9" customFormat="1" ht="70.5" customHeight="1" x14ac:dyDescent="0.2">
      <c r="A3" s="6" t="s">
        <v>2</v>
      </c>
      <c r="B3" s="369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52</v>
      </c>
      <c r="H3" s="6" t="s">
        <v>8</v>
      </c>
      <c r="I3" s="6" t="s">
        <v>54</v>
      </c>
      <c r="J3" s="7" t="s">
        <v>9</v>
      </c>
      <c r="K3" s="8" t="s">
        <v>484</v>
      </c>
      <c r="L3" s="6" t="s">
        <v>53</v>
      </c>
      <c r="M3" s="6" t="s">
        <v>50</v>
      </c>
      <c r="N3" s="369" t="s">
        <v>674</v>
      </c>
      <c r="O3" s="7" t="s">
        <v>51</v>
      </c>
      <c r="P3" s="6" t="s">
        <v>392</v>
      </c>
      <c r="Q3" s="6" t="s">
        <v>675</v>
      </c>
      <c r="R3" s="7" t="s">
        <v>676</v>
      </c>
      <c r="S3" s="6" t="s">
        <v>10</v>
      </c>
    </row>
    <row r="4" spans="1:24" s="12" customFormat="1" ht="16.5" customHeight="1" x14ac:dyDescent="0.2">
      <c r="A4" s="10">
        <v>1</v>
      </c>
      <c r="B4" s="10"/>
      <c r="C4" s="10"/>
      <c r="D4" s="10"/>
      <c r="E4" s="10"/>
      <c r="F4" s="10"/>
      <c r="G4" s="10">
        <v>3</v>
      </c>
      <c r="H4" s="11"/>
      <c r="I4" s="98"/>
      <c r="L4" s="11">
        <v>3</v>
      </c>
      <c r="M4" s="11"/>
      <c r="N4" s="11"/>
      <c r="O4" s="11"/>
      <c r="P4" s="11"/>
      <c r="Q4" s="11"/>
      <c r="R4" s="11"/>
      <c r="S4" s="11">
        <v>6</v>
      </c>
    </row>
    <row r="5" spans="1:24" s="3" customFormat="1" ht="42.75" customHeight="1" x14ac:dyDescent="0.2">
      <c r="A5" s="13" t="s">
        <v>669</v>
      </c>
      <c r="B5" s="14" t="s">
        <v>505</v>
      </c>
      <c r="C5" s="15"/>
      <c r="D5" s="16"/>
      <c r="E5" s="16"/>
      <c r="F5" s="16"/>
      <c r="G5" s="17">
        <f>SUM(G6:G7)</f>
        <v>100</v>
      </c>
      <c r="H5" s="18">
        <f>H6+H7</f>
        <v>718492253.52999997</v>
      </c>
      <c r="I5" s="18">
        <f>I6+I7</f>
        <v>718492253.52999997</v>
      </c>
      <c r="J5" s="18">
        <f>J7*67554500</f>
        <v>47963694.999407656</v>
      </c>
      <c r="L5" s="17">
        <f>SUM(L6:L7)</f>
        <v>100</v>
      </c>
      <c r="M5" s="18">
        <f>M6+M7</f>
        <v>711529154.93000007</v>
      </c>
      <c r="N5" s="18">
        <f>N6+N7</f>
        <v>711529154.93000007</v>
      </c>
      <c r="O5" s="18">
        <f>O7*70943400</f>
        <v>50369813.999970086</v>
      </c>
      <c r="P5" s="18">
        <f>P6+P7</f>
        <v>709050563.38</v>
      </c>
      <c r="Q5" s="18">
        <f>Q6+Q7</f>
        <v>709050563.38</v>
      </c>
      <c r="R5" s="18">
        <f>R7*76187900</f>
        <v>54093409.000021487</v>
      </c>
      <c r="S5" s="19"/>
    </row>
    <row r="6" spans="1:24" s="28" customFormat="1" ht="23.25" customHeight="1" x14ac:dyDescent="0.2">
      <c r="A6" s="20" t="s">
        <v>13</v>
      </c>
      <c r="B6" s="21"/>
      <c r="C6" s="22"/>
      <c r="D6" s="23"/>
      <c r="E6" s="23"/>
      <c r="F6" s="23"/>
      <c r="G6" s="24">
        <f>H6/H5*100</f>
        <v>29.000000000876835</v>
      </c>
      <c r="H6" s="25">
        <f>H9+H12+H15+H18+H21+H24</f>
        <v>208362753.52999997</v>
      </c>
      <c r="I6" s="25">
        <f>I9+I12+I15+I18+I21+I24</f>
        <v>208362753.52999997</v>
      </c>
      <c r="J6" s="758">
        <f>1-J7</f>
        <v>0.29000000000876835</v>
      </c>
      <c r="K6" s="757" t="s">
        <v>519</v>
      </c>
      <c r="L6" s="24">
        <f>M6/M5*100</f>
        <v>29.000000000042164</v>
      </c>
      <c r="M6" s="25">
        <f>M9+M12+M15+M18+M21+M24</f>
        <v>206343454.93000004</v>
      </c>
      <c r="N6" s="25">
        <f>N9+N12+N15+N18+N21+N24</f>
        <v>206343454.93000004</v>
      </c>
      <c r="O6" s="26">
        <f>1-O7</f>
        <v>0.2900000000004217</v>
      </c>
      <c r="P6" s="25">
        <f>P9+P12+P15+P18+P21+P24</f>
        <v>205624663.38000003</v>
      </c>
      <c r="Q6" s="25">
        <f>Q9+Q12+Q15+Q18+Q21+Q24</f>
        <v>205624663.38000003</v>
      </c>
      <c r="R6" s="26">
        <f>1-R7</f>
        <v>0.28999999999971793</v>
      </c>
      <c r="S6" s="27"/>
      <c r="V6" s="25">
        <f>30003137.54*J6</f>
        <v>8700909.8868630771</v>
      </c>
      <c r="W6" s="25"/>
      <c r="X6" s="29"/>
    </row>
    <row r="7" spans="1:24" s="28" customFormat="1" ht="18.75" x14ac:dyDescent="0.2">
      <c r="A7" s="20" t="s">
        <v>15</v>
      </c>
      <c r="B7" s="30"/>
      <c r="C7" s="22"/>
      <c r="D7" s="23"/>
      <c r="E7" s="23"/>
      <c r="F7" s="23"/>
      <c r="G7" s="24">
        <f>H7/H5*100</f>
        <v>70.999999999123162</v>
      </c>
      <c r="H7" s="25">
        <f>H10+H13+H16+H19+H22+H25</f>
        <v>510129500</v>
      </c>
      <c r="I7" s="25">
        <f>I10+I13+I16+I19+I22+I25</f>
        <v>510129500</v>
      </c>
      <c r="J7" s="758">
        <f>H7/H5</f>
        <v>0.70999999999123165</v>
      </c>
      <c r="K7" s="757" t="s">
        <v>513</v>
      </c>
      <c r="L7" s="24">
        <f>M7/M5*100</f>
        <v>70.999999999957836</v>
      </c>
      <c r="M7" s="25">
        <f>M10+M13+M16+M19+M22+M25</f>
        <v>505185700</v>
      </c>
      <c r="N7" s="25">
        <f>N10+N13+N16+N19+N22+N25</f>
        <v>505185700</v>
      </c>
      <c r="O7" s="26">
        <f>M7/M5</f>
        <v>0.7099999999995783</v>
      </c>
      <c r="P7" s="25">
        <f>P10+P13+P16+P19+P22+P25</f>
        <v>503425900</v>
      </c>
      <c r="Q7" s="25">
        <f>Q10+Q13+Q16+Q19+Q22+Q25</f>
        <v>503425900</v>
      </c>
      <c r="R7" s="26">
        <f>P7/P5</f>
        <v>0.71000000000028207</v>
      </c>
      <c r="S7" s="27"/>
      <c r="U7" s="25">
        <f>K6/K7*37000</f>
        <v>15112.676056981603</v>
      </c>
      <c r="V7" s="31">
        <f>K7*(10793660.73)/100</f>
        <v>7663499.1182053518</v>
      </c>
      <c r="W7" s="37"/>
      <c r="X7" s="29"/>
    </row>
    <row r="8" spans="1:24" s="3" customFormat="1" ht="78.75" x14ac:dyDescent="0.2">
      <c r="A8" s="32" t="s">
        <v>670</v>
      </c>
      <c r="B8" s="33"/>
      <c r="C8" s="15" t="s">
        <v>18</v>
      </c>
      <c r="D8" s="15" t="s">
        <v>12</v>
      </c>
      <c r="E8" s="16"/>
      <c r="F8" s="16"/>
      <c r="G8" s="17">
        <f>SUM(G9:G10)</f>
        <v>100.00000000000001</v>
      </c>
      <c r="H8" s="34">
        <f>H9+H10</f>
        <v>155601690.13999999</v>
      </c>
      <c r="I8" s="100">
        <f>I9+I10</f>
        <v>155601690.13999999</v>
      </c>
      <c r="J8" s="25"/>
      <c r="K8" s="25"/>
      <c r="L8" s="17">
        <f>SUM(L9:L10)</f>
        <v>100</v>
      </c>
      <c r="M8" s="34">
        <f>M9+M10</f>
        <v>143272535.21000001</v>
      </c>
      <c r="N8" s="34">
        <f>N9+N10</f>
        <v>143272535.21000001</v>
      </c>
      <c r="O8" s="25"/>
      <c r="P8" s="34">
        <f>P9+P10</f>
        <v>143272535.21000001</v>
      </c>
      <c r="Q8" s="34">
        <f>Q9+Q10</f>
        <v>143272535.21000001</v>
      </c>
      <c r="R8" s="25"/>
      <c r="S8" s="19"/>
      <c r="V8" s="35"/>
    </row>
    <row r="9" spans="1:24" s="28" customFormat="1" ht="24" customHeight="1" x14ac:dyDescent="0.2">
      <c r="A9" s="20" t="s">
        <v>13</v>
      </c>
      <c r="B9" s="21"/>
      <c r="C9" s="23" t="s">
        <v>18</v>
      </c>
      <c r="D9" s="23" t="s">
        <v>12</v>
      </c>
      <c r="E9" s="23" t="s">
        <v>14</v>
      </c>
      <c r="F9" s="22" t="s">
        <v>19</v>
      </c>
      <c r="G9" s="24">
        <f>H9/H8*100</f>
        <v>28.999999999614403</v>
      </c>
      <c r="H9" s="25">
        <v>45124490.140000001</v>
      </c>
      <c r="I9" s="99">
        <f>ROUND(H8*$J$6,2)</f>
        <v>45124490.140000001</v>
      </c>
      <c r="J9" s="26"/>
      <c r="K9" s="26"/>
      <c r="L9" s="24">
        <f>M9/M8*100</f>
        <v>28.999999999371827</v>
      </c>
      <c r="M9" s="25">
        <v>41549035.210000001</v>
      </c>
      <c r="N9" s="25">
        <f>ROUND(M8*$O$6,2)</f>
        <v>41549035.210000001</v>
      </c>
      <c r="O9" s="36">
        <f>1-O10</f>
        <v>0.28999999999371828</v>
      </c>
      <c r="P9" s="25">
        <v>41549035.210000001</v>
      </c>
      <c r="Q9" s="25">
        <f>ROUND(P8*$R$6,2)</f>
        <v>41549035.210000001</v>
      </c>
      <c r="R9" s="26">
        <f>1-R10</f>
        <v>0.28999999999371828</v>
      </c>
      <c r="S9" s="27"/>
    </row>
    <row r="10" spans="1:24" s="28" customFormat="1" ht="18.75" x14ac:dyDescent="0.2">
      <c r="A10" s="20" t="s">
        <v>15</v>
      </c>
      <c r="B10" s="30"/>
      <c r="C10" s="23" t="s">
        <v>18</v>
      </c>
      <c r="D10" s="23" t="s">
        <v>12</v>
      </c>
      <c r="E10" s="23" t="s">
        <v>16</v>
      </c>
      <c r="F10" s="22" t="s">
        <v>19</v>
      </c>
      <c r="G10" s="24">
        <f>H10/H8*100</f>
        <v>71.000000000385612</v>
      </c>
      <c r="H10" s="25">
        <v>110477200</v>
      </c>
      <c r="I10" s="99">
        <f>ROUND(H8*$J$7,2)</f>
        <v>110477200</v>
      </c>
      <c r="J10" s="26"/>
      <c r="K10" s="38"/>
      <c r="L10" s="24">
        <f>M10/M8*100</f>
        <v>71.000000000628177</v>
      </c>
      <c r="M10" s="25">
        <v>101723500</v>
      </c>
      <c r="N10" s="25">
        <f>ROUND(M8*$O$7,2)</f>
        <v>101723500</v>
      </c>
      <c r="O10" s="36">
        <f>M10/M8</f>
        <v>0.71000000000628172</v>
      </c>
      <c r="P10" s="25">
        <v>101723500</v>
      </c>
      <c r="Q10" s="25">
        <f>ROUND(P8*$R$7,2)</f>
        <v>101723500</v>
      </c>
      <c r="R10" s="36">
        <f>P10/P8</f>
        <v>0.71000000000628172</v>
      </c>
      <c r="S10" s="27"/>
      <c r="U10" s="38">
        <f>97529579.2*J10</f>
        <v>0</v>
      </c>
    </row>
    <row r="11" spans="1:24" s="3" customFormat="1" ht="31.5" x14ac:dyDescent="0.2">
      <c r="A11" s="32" t="s">
        <v>20</v>
      </c>
      <c r="B11" s="14"/>
      <c r="C11" s="15" t="s">
        <v>21</v>
      </c>
      <c r="D11" s="15"/>
      <c r="E11" s="16"/>
      <c r="F11" s="16"/>
      <c r="G11" s="17">
        <f>SUM(G12:G13)</f>
        <v>100</v>
      </c>
      <c r="H11" s="34">
        <f>H12+H13</f>
        <v>67406105.939999998</v>
      </c>
      <c r="I11" s="100">
        <f>I12+I13</f>
        <v>67406105.939999998</v>
      </c>
      <c r="J11" s="25"/>
      <c r="K11" s="25"/>
      <c r="L11" s="17">
        <f>SUM(L12:L13)</f>
        <v>100</v>
      </c>
      <c r="M11" s="34">
        <f>M12+M13</f>
        <v>67783901.409999996</v>
      </c>
      <c r="N11" s="34">
        <f>N12+N13</f>
        <v>67783901.409999996</v>
      </c>
      <c r="O11" s="25"/>
      <c r="P11" s="34">
        <f>P12+P13</f>
        <v>67783943.659999996</v>
      </c>
      <c r="Q11" s="34">
        <f>Q12+Q13</f>
        <v>67783943.659999996</v>
      </c>
      <c r="R11" s="25"/>
      <c r="S11" s="19"/>
      <c r="W11" s="39"/>
    </row>
    <row r="12" spans="1:24" s="41" customFormat="1" ht="25.5" customHeight="1" x14ac:dyDescent="0.2">
      <c r="A12" s="20" t="s">
        <v>13</v>
      </c>
      <c r="B12" s="40"/>
      <c r="C12" s="23" t="s">
        <v>21</v>
      </c>
      <c r="D12" s="23" t="s">
        <v>12</v>
      </c>
      <c r="E12" s="23" t="s">
        <v>14</v>
      </c>
      <c r="F12" s="22" t="s">
        <v>19</v>
      </c>
      <c r="G12" s="24">
        <f>H12/H11*100</f>
        <v>28.999999996142783</v>
      </c>
      <c r="H12" s="25">
        <v>19547770.719999999</v>
      </c>
      <c r="I12" s="99">
        <f>ROUND(H11*$J$6,2)</f>
        <v>19547770.719999999</v>
      </c>
      <c r="J12" s="26"/>
      <c r="K12" s="26"/>
      <c r="L12" s="24">
        <f>M12/M11*100</f>
        <v>29.000000001622805</v>
      </c>
      <c r="M12" s="25">
        <v>19657331.41</v>
      </c>
      <c r="N12" s="25">
        <f>ROUND(M11*$O$6,2)</f>
        <v>19657331.41</v>
      </c>
      <c r="O12" s="36">
        <f>1-O13</f>
        <v>0.29000000001622805</v>
      </c>
      <c r="P12" s="25">
        <v>19657343.66</v>
      </c>
      <c r="Q12" s="25">
        <f>ROUND(P11*$R$6,2)</f>
        <v>19657343.66</v>
      </c>
      <c r="R12" s="26">
        <f>1-R13</f>
        <v>0.28999999997934611</v>
      </c>
      <c r="S12" s="27"/>
      <c r="X12" s="12"/>
    </row>
    <row r="13" spans="1:24" s="41" customFormat="1" ht="18.75" x14ac:dyDescent="0.2">
      <c r="A13" s="20" t="s">
        <v>15</v>
      </c>
      <c r="B13" s="42"/>
      <c r="C13" s="23" t="s">
        <v>21</v>
      </c>
      <c r="D13" s="23" t="s">
        <v>12</v>
      </c>
      <c r="E13" s="23" t="s">
        <v>16</v>
      </c>
      <c r="F13" s="22" t="s">
        <v>19</v>
      </c>
      <c r="G13" s="24">
        <f>H13/H11*100</f>
        <v>71.000000003857224</v>
      </c>
      <c r="H13" s="25">
        <v>47858335.219999999</v>
      </c>
      <c r="I13" s="99">
        <f>ROUND(H11*$J$7,2)</f>
        <v>47858335.219999999</v>
      </c>
      <c r="J13" s="43"/>
      <c r="K13" s="36"/>
      <c r="L13" s="24">
        <f>M13/M11*100</f>
        <v>70.999999998377191</v>
      </c>
      <c r="M13" s="25">
        <v>48126570</v>
      </c>
      <c r="N13" s="25">
        <f>ROUND(M11*$O$7,2)</f>
        <v>48126570</v>
      </c>
      <c r="O13" s="36">
        <f>M13/M11</f>
        <v>0.70999999998377195</v>
      </c>
      <c r="P13" s="25">
        <v>48126600</v>
      </c>
      <c r="Q13" s="25">
        <f>ROUND(P11*$R$7,2)</f>
        <v>48126600</v>
      </c>
      <c r="R13" s="36">
        <f>P13/P11</f>
        <v>0.71000000002065389</v>
      </c>
      <c r="S13" s="27"/>
      <c r="U13" s="38" t="e">
        <f>J12/J13*59000000</f>
        <v>#DIV/0!</v>
      </c>
      <c r="V13" s="41">
        <f>13067942.74*J13</f>
        <v>0</v>
      </c>
      <c r="X13" s="12"/>
    </row>
    <row r="14" spans="1:24" s="3" customFormat="1" ht="63" x14ac:dyDescent="0.25">
      <c r="A14" s="44" t="s">
        <v>22</v>
      </c>
      <c r="B14" s="14"/>
      <c r="C14" s="15" t="s">
        <v>23</v>
      </c>
      <c r="D14" s="19"/>
      <c r="E14" s="19"/>
      <c r="F14" s="16"/>
      <c r="G14" s="17">
        <f>SUM(G15:G16)</f>
        <v>99.999999999999986</v>
      </c>
      <c r="H14" s="34">
        <f>H15+H16</f>
        <v>170999436.62</v>
      </c>
      <c r="I14" s="100">
        <f>I15+I16</f>
        <v>170999436.62</v>
      </c>
      <c r="J14" s="60"/>
      <c r="K14" s="60"/>
      <c r="L14" s="17">
        <f>SUM(L15:L16)</f>
        <v>100</v>
      </c>
      <c r="M14" s="34">
        <f>M15+M16</f>
        <v>171381408.44999999</v>
      </c>
      <c r="N14" s="34">
        <f>N15+N16</f>
        <v>171381408.44999999</v>
      </c>
      <c r="P14" s="34">
        <f>P15+P16</f>
        <v>171381408.44999999</v>
      </c>
      <c r="Q14" s="34">
        <f>Q15+Q16</f>
        <v>171381408.44999999</v>
      </c>
      <c r="S14" s="19"/>
    </row>
    <row r="15" spans="1:24" s="3" customFormat="1" ht="23.25" customHeight="1" x14ac:dyDescent="0.2">
      <c r="A15" s="20" t="s">
        <v>13</v>
      </c>
      <c r="B15" s="20"/>
      <c r="C15" s="23" t="s">
        <v>23</v>
      </c>
      <c r="D15" s="23" t="s">
        <v>12</v>
      </c>
      <c r="E15" s="23" t="s">
        <v>14</v>
      </c>
      <c r="F15" s="22" t="s">
        <v>19</v>
      </c>
      <c r="G15" s="24">
        <f>H15/H14*100</f>
        <v>29.000000000116955</v>
      </c>
      <c r="H15" s="25">
        <v>49589836.619999997</v>
      </c>
      <c r="I15" s="99">
        <f>ROUND(H14*$J$6,2)</f>
        <v>49589836.619999997</v>
      </c>
      <c r="J15" s="26"/>
      <c r="K15" s="26"/>
      <c r="L15" s="24">
        <f>M15/M14*100</f>
        <v>28.999999999708258</v>
      </c>
      <c r="M15" s="25">
        <v>49700608.450000003</v>
      </c>
      <c r="N15" s="25">
        <f>ROUND(M14*$O$6,2)</f>
        <v>49700608.450000003</v>
      </c>
      <c r="O15" s="36">
        <f>1-O16</f>
        <v>0.28999999999708248</v>
      </c>
      <c r="P15" s="25">
        <v>49700608.450000003</v>
      </c>
      <c r="Q15" s="25">
        <f>ROUND(P14*$R$6,2)</f>
        <v>49700608.450000003</v>
      </c>
      <c r="R15" s="26">
        <f>1-R16</f>
        <v>0.28999999999708248</v>
      </c>
      <c r="S15" s="27"/>
      <c r="V15" s="446">
        <f>J15*20318017.51</f>
        <v>0</v>
      </c>
    </row>
    <row r="16" spans="1:24" s="3" customFormat="1" ht="18.75" x14ac:dyDescent="0.2">
      <c r="A16" s="20" t="s">
        <v>15</v>
      </c>
      <c r="B16" s="45"/>
      <c r="C16" s="23" t="s">
        <v>23</v>
      </c>
      <c r="D16" s="23" t="s">
        <v>12</v>
      </c>
      <c r="E16" s="23" t="s">
        <v>16</v>
      </c>
      <c r="F16" s="22" t="s">
        <v>19</v>
      </c>
      <c r="G16" s="24">
        <f>H16/H14*100</f>
        <v>70.99999999988303</v>
      </c>
      <c r="H16" s="25">
        <v>121409600</v>
      </c>
      <c r="I16" s="99">
        <f>ROUND(H14*$J$7,2)</f>
        <v>121409600</v>
      </c>
      <c r="J16" s="26"/>
      <c r="K16" s="26"/>
      <c r="L16" s="24">
        <f>M16/M14*100</f>
        <v>71.000000000291749</v>
      </c>
      <c r="M16" s="25">
        <v>121680800</v>
      </c>
      <c r="N16" s="25">
        <f>ROUND(M14*$O$7,2)</f>
        <v>121680800</v>
      </c>
      <c r="O16" s="36">
        <f>M16/M14</f>
        <v>0.71000000000291752</v>
      </c>
      <c r="P16" s="25">
        <v>121680800</v>
      </c>
      <c r="Q16" s="25">
        <f>ROUND(P14*$R$7,2)</f>
        <v>121680800</v>
      </c>
      <c r="R16" s="26">
        <f>P16/P14</f>
        <v>0.71000000000291752</v>
      </c>
      <c r="S16" s="27"/>
      <c r="U16" s="25" t="e">
        <f>J15/J16*206376475</f>
        <v>#DIV/0!</v>
      </c>
      <c r="V16" s="446">
        <f>J16*44596388</f>
        <v>0</v>
      </c>
    </row>
    <row r="17" spans="1:21" s="41" customFormat="1" ht="78.75" x14ac:dyDescent="0.2">
      <c r="A17" s="32" t="s">
        <v>24</v>
      </c>
      <c r="B17" s="32"/>
      <c r="C17" s="15" t="s">
        <v>25</v>
      </c>
      <c r="D17" s="23" t="s">
        <v>12</v>
      </c>
      <c r="E17" s="23"/>
      <c r="F17" s="23"/>
      <c r="G17" s="24">
        <f>SUM(G18:G19)</f>
        <v>100</v>
      </c>
      <c r="H17" s="34">
        <f>H18+H19</f>
        <v>215357823.63999999</v>
      </c>
      <c r="I17" s="100">
        <f>I18+I19</f>
        <v>215357823.63999999</v>
      </c>
      <c r="J17" s="46"/>
      <c r="K17" s="46"/>
      <c r="L17" s="24">
        <f>SUM(L18:L19)</f>
        <v>100</v>
      </c>
      <c r="M17" s="34">
        <f>M18+M19</f>
        <v>222249619.72</v>
      </c>
      <c r="N17" s="34">
        <f>N18+N19</f>
        <v>222249619.72</v>
      </c>
      <c r="P17" s="34">
        <f>P18+P19</f>
        <v>221655633.80000001</v>
      </c>
      <c r="Q17" s="34">
        <f>Q18+Q19</f>
        <v>221655633.80000001</v>
      </c>
      <c r="R17" s="46"/>
      <c r="S17" s="47"/>
    </row>
    <row r="18" spans="1:21" s="41" customFormat="1" ht="24" customHeight="1" x14ac:dyDescent="0.2">
      <c r="A18" s="20" t="s">
        <v>13</v>
      </c>
      <c r="B18" s="20"/>
      <c r="C18" s="23" t="s">
        <v>25</v>
      </c>
      <c r="D18" s="23" t="s">
        <v>12</v>
      </c>
      <c r="E18" s="23" t="s">
        <v>14</v>
      </c>
      <c r="F18" s="22" t="s">
        <v>19</v>
      </c>
      <c r="G18" s="24">
        <v>25</v>
      </c>
      <c r="H18" s="25">
        <v>62453768.859999999</v>
      </c>
      <c r="I18" s="99">
        <f>ROUND(H17*$J$6,2)</f>
        <v>62453768.859999999</v>
      </c>
      <c r="J18" s="26"/>
      <c r="K18" s="26"/>
      <c r="L18" s="24">
        <f>M18/M17*100</f>
        <v>29.000000000539934</v>
      </c>
      <c r="M18" s="25">
        <v>64452389.719999999</v>
      </c>
      <c r="N18" s="25">
        <f>ROUND(M17*$O$6,2)</f>
        <v>64452389.719999999</v>
      </c>
      <c r="O18" s="36">
        <f>1-O19</f>
        <v>0.29000000000539938</v>
      </c>
      <c r="P18" s="25">
        <v>64280133.799999997</v>
      </c>
      <c r="Q18" s="25">
        <f>ROUND(P17*$R$6,2)</f>
        <v>64280133.799999997</v>
      </c>
      <c r="R18" s="26">
        <f>1-R19</f>
        <v>0.28999999999097703</v>
      </c>
      <c r="S18" s="27"/>
    </row>
    <row r="19" spans="1:21" s="41" customFormat="1" ht="24" customHeight="1" x14ac:dyDescent="0.2">
      <c r="A19" s="20" t="s">
        <v>15</v>
      </c>
      <c r="B19" s="48"/>
      <c r="C19" s="23" t="s">
        <v>25</v>
      </c>
      <c r="D19" s="23" t="s">
        <v>12</v>
      </c>
      <c r="E19" s="23" t="s">
        <v>16</v>
      </c>
      <c r="F19" s="22" t="s">
        <v>19</v>
      </c>
      <c r="G19" s="24">
        <v>75</v>
      </c>
      <c r="H19" s="25">
        <v>152904054.78</v>
      </c>
      <c r="I19" s="99">
        <f>ROUND(H17*$J$7,2)</f>
        <v>152904054.78</v>
      </c>
      <c r="J19" s="26"/>
      <c r="K19" s="26"/>
      <c r="L19" s="24">
        <f>M19/M17*100</f>
        <v>70.999999999460059</v>
      </c>
      <c r="M19" s="25">
        <v>157797230</v>
      </c>
      <c r="N19" s="25">
        <f>ROUND(M17*$O$7,2)</f>
        <v>157797230</v>
      </c>
      <c r="O19" s="36">
        <f>M19/M17</f>
        <v>0.70999999999460062</v>
      </c>
      <c r="P19" s="25">
        <v>157375500</v>
      </c>
      <c r="Q19" s="25">
        <f>ROUND(P17*$R$7,2)</f>
        <v>157375500</v>
      </c>
      <c r="R19" s="26">
        <f>P19/P17</f>
        <v>0.71000000000902297</v>
      </c>
      <c r="S19" s="27"/>
    </row>
    <row r="20" spans="1:21" s="41" customFormat="1" ht="78.75" x14ac:dyDescent="0.2">
      <c r="A20" s="32" t="s">
        <v>303</v>
      </c>
      <c r="B20" s="32"/>
      <c r="C20" s="15" t="s">
        <v>26</v>
      </c>
      <c r="D20" s="23" t="s">
        <v>12</v>
      </c>
      <c r="E20" s="23"/>
      <c r="F20" s="23"/>
      <c r="G20" s="24">
        <f>SUM(G21:G22)</f>
        <v>100</v>
      </c>
      <c r="H20" s="34">
        <f>H21+H22</f>
        <v>76245647.890000001</v>
      </c>
      <c r="I20" s="100">
        <f>I21+I22</f>
        <v>76245647.890000001</v>
      </c>
      <c r="J20" s="46"/>
      <c r="K20" s="46"/>
      <c r="L20" s="24">
        <f>SUM(L21:L22)</f>
        <v>99.999999999999986</v>
      </c>
      <c r="M20" s="34">
        <f>M21+M22</f>
        <v>73960140.840000004</v>
      </c>
      <c r="N20" s="34">
        <f>N21+N22</f>
        <v>73960140.840000004</v>
      </c>
      <c r="O20" s="46"/>
      <c r="P20" s="34">
        <f>P21+P22</f>
        <v>72075492.960000008</v>
      </c>
      <c r="Q20" s="34">
        <f>Q21+Q22</f>
        <v>72075492.960000008</v>
      </c>
      <c r="R20" s="46"/>
      <c r="S20" s="47"/>
    </row>
    <row r="21" spans="1:21" s="41" customFormat="1" ht="23.25" customHeight="1" x14ac:dyDescent="0.2">
      <c r="A21" s="20" t="s">
        <v>13</v>
      </c>
      <c r="B21" s="20"/>
      <c r="C21" s="23" t="s">
        <v>26</v>
      </c>
      <c r="D21" s="23" t="s">
        <v>12</v>
      </c>
      <c r="E21" s="23" t="s">
        <v>14</v>
      </c>
      <c r="F21" s="22" t="s">
        <v>19</v>
      </c>
      <c r="G21" s="24">
        <v>25</v>
      </c>
      <c r="H21" s="25">
        <v>22111237.890000001</v>
      </c>
      <c r="I21" s="99">
        <f>ROUND(H20*$J$6,2)</f>
        <v>22111237.890000001</v>
      </c>
      <c r="J21" s="26"/>
      <c r="K21" s="26"/>
      <c r="L21" s="24">
        <f>M21/M20*100</f>
        <v>28.999999995132512</v>
      </c>
      <c r="M21" s="25">
        <v>21448440.84</v>
      </c>
      <c r="N21" s="25">
        <f>ROUND(M20*$O$6,2)</f>
        <v>21448440.84</v>
      </c>
      <c r="O21" s="36">
        <f>1-O22</f>
        <v>0.28999999995132519</v>
      </c>
      <c r="P21" s="25">
        <v>20901892.960000001</v>
      </c>
      <c r="Q21" s="25">
        <f>ROUND(P20*$R$6,2)</f>
        <v>20901892.960000001</v>
      </c>
      <c r="R21" s="26">
        <f>1-R22</f>
        <v>0.29000000002219906</v>
      </c>
      <c r="S21" s="27"/>
    </row>
    <row r="22" spans="1:21" s="41" customFormat="1" ht="23.25" customHeight="1" x14ac:dyDescent="0.2">
      <c r="A22" s="20" t="s">
        <v>15</v>
      </c>
      <c r="B22" s="20"/>
      <c r="C22" s="23" t="s">
        <v>26</v>
      </c>
      <c r="D22" s="23" t="s">
        <v>12</v>
      </c>
      <c r="E22" s="23" t="s">
        <v>16</v>
      </c>
      <c r="F22" s="22" t="s">
        <v>19</v>
      </c>
      <c r="G22" s="24">
        <v>75</v>
      </c>
      <c r="H22" s="25">
        <v>54134410</v>
      </c>
      <c r="I22" s="99">
        <f>ROUND(H20*$J$7,2)</f>
        <v>54134410</v>
      </c>
      <c r="J22" s="26"/>
      <c r="K22" s="26"/>
      <c r="L22" s="24">
        <f>M22/M20*100</f>
        <v>71.000000004867474</v>
      </c>
      <c r="M22" s="25">
        <v>52511700</v>
      </c>
      <c r="N22" s="25">
        <f>ROUND(M20*$O$7,2)</f>
        <v>52511700</v>
      </c>
      <c r="O22" s="36">
        <f>M22/M20</f>
        <v>0.71000000004867481</v>
      </c>
      <c r="P22" s="25">
        <v>51173600</v>
      </c>
      <c r="Q22" s="25">
        <f>ROUND(P20*$R$7,2)</f>
        <v>51173600</v>
      </c>
      <c r="R22" s="26">
        <f>P22/P20</f>
        <v>0.70999999997780094</v>
      </c>
      <c r="S22" s="27"/>
    </row>
    <row r="23" spans="1:21" s="41" customFormat="1" ht="31.5" x14ac:dyDescent="0.25">
      <c r="A23" s="32" t="s">
        <v>27</v>
      </c>
      <c r="B23" s="49"/>
      <c r="C23" s="15" t="s">
        <v>28</v>
      </c>
      <c r="D23" s="23" t="s">
        <v>12</v>
      </c>
      <c r="E23" s="23"/>
      <c r="F23" s="23"/>
      <c r="G23" s="24">
        <f>SUM(G24:G25)</f>
        <v>100</v>
      </c>
      <c r="H23" s="34">
        <f>H24+H25</f>
        <v>32881549.300000001</v>
      </c>
      <c r="I23" s="100">
        <f>I24+I25</f>
        <v>32881549.300000001</v>
      </c>
      <c r="J23" s="46"/>
      <c r="K23" s="46"/>
      <c r="L23" s="24">
        <f>SUM(L24:L25)</f>
        <v>100</v>
      </c>
      <c r="M23" s="34">
        <f>M24+M25</f>
        <v>32881549.300000001</v>
      </c>
      <c r="N23" s="34">
        <f>N24+N25</f>
        <v>32881549.300000001</v>
      </c>
      <c r="O23" s="46"/>
      <c r="P23" s="34">
        <f>P24+P25</f>
        <v>32881549.300000001</v>
      </c>
      <c r="Q23" s="34">
        <f>Q24+Q25</f>
        <v>32881549.300000001</v>
      </c>
      <c r="R23" s="46"/>
      <c r="S23" s="47"/>
    </row>
    <row r="24" spans="1:21" s="41" customFormat="1" ht="24" customHeight="1" x14ac:dyDescent="0.2">
      <c r="A24" s="20" t="s">
        <v>13</v>
      </c>
      <c r="B24" s="21"/>
      <c r="C24" s="23" t="s">
        <v>28</v>
      </c>
      <c r="D24" s="23" t="s">
        <v>12</v>
      </c>
      <c r="E24" s="23" t="s">
        <v>14</v>
      </c>
      <c r="F24" s="22" t="s">
        <v>19</v>
      </c>
      <c r="G24" s="24">
        <v>25</v>
      </c>
      <c r="H24" s="25">
        <v>9535649.3000000007</v>
      </c>
      <c r="I24" s="99">
        <f>ROUND(H23*$J$6,2)</f>
        <v>9535649.3000000007</v>
      </c>
      <c r="J24" s="26"/>
      <c r="K24" s="26"/>
      <c r="L24" s="24">
        <f>M24/M23*100</f>
        <v>29.00000000912366</v>
      </c>
      <c r="M24" s="25">
        <v>9535649.3000000007</v>
      </c>
      <c r="N24" s="25">
        <f>ROUND(M23*$O$6,2)</f>
        <v>9535649.3000000007</v>
      </c>
      <c r="O24" s="26">
        <f>1-O25</f>
        <v>0.29000000009123661</v>
      </c>
      <c r="P24" s="25">
        <v>9535649.3000000007</v>
      </c>
      <c r="Q24" s="25">
        <f>ROUND(P23*$R$6,2)</f>
        <v>9535649.3000000007</v>
      </c>
      <c r="R24" s="26">
        <f>1-R25</f>
        <v>0.29000000009123661</v>
      </c>
      <c r="S24" s="27"/>
    </row>
    <row r="25" spans="1:21" s="41" customFormat="1" ht="24" customHeight="1" x14ac:dyDescent="0.2">
      <c r="A25" s="20" t="s">
        <v>15</v>
      </c>
      <c r="B25" s="21"/>
      <c r="C25" s="23" t="s">
        <v>28</v>
      </c>
      <c r="D25" s="23" t="s">
        <v>12</v>
      </c>
      <c r="E25" s="23" t="s">
        <v>16</v>
      </c>
      <c r="F25" s="22" t="s">
        <v>19</v>
      </c>
      <c r="G25" s="24">
        <v>75</v>
      </c>
      <c r="H25" s="25">
        <v>23345900</v>
      </c>
      <c r="I25" s="99">
        <f>ROUND(H23*$J$7,2)</f>
        <v>23345900</v>
      </c>
      <c r="J25" s="26"/>
      <c r="K25" s="26"/>
      <c r="L25" s="24">
        <f>M25/M23*100</f>
        <v>70.999999990876333</v>
      </c>
      <c r="M25" s="25">
        <v>23345900</v>
      </c>
      <c r="N25" s="25">
        <f>ROUND(M23*$O$7,2)</f>
        <v>23345900</v>
      </c>
      <c r="O25" s="26">
        <f>M25/M23</f>
        <v>0.70999999990876339</v>
      </c>
      <c r="P25" s="25">
        <v>23345900</v>
      </c>
      <c r="Q25" s="25">
        <f>ROUND(P23*$R$7,2)</f>
        <v>23345900</v>
      </c>
      <c r="R25" s="26">
        <f>P25/P23</f>
        <v>0.70999999990876339</v>
      </c>
      <c r="S25" s="27"/>
    </row>
    <row r="26" spans="1:21" s="41" customFormat="1" ht="78.75" customHeight="1" x14ac:dyDescent="0.2">
      <c r="A26" s="13" t="s">
        <v>29</v>
      </c>
      <c r="B26" s="14" t="s">
        <v>504</v>
      </c>
      <c r="C26" s="16"/>
      <c r="D26" s="16" t="s">
        <v>30</v>
      </c>
      <c r="E26" s="16"/>
      <c r="F26" s="16"/>
      <c r="G26" s="17">
        <f>SUM(G27:G28)</f>
        <v>100</v>
      </c>
      <c r="H26" s="50">
        <f>H27+H28</f>
        <v>366531267.60000002</v>
      </c>
      <c r="I26" s="50">
        <f>I27+I28</f>
        <v>366531267.60000002</v>
      </c>
      <c r="J26" s="25">
        <f>J28*4500000</f>
        <v>3195000.0000491091</v>
      </c>
      <c r="K26" s="46"/>
      <c r="L26" s="17">
        <f>SUM(L27:L28)</f>
        <v>100</v>
      </c>
      <c r="M26" s="50">
        <f>M27+M28</f>
        <v>368609014.07999998</v>
      </c>
      <c r="N26" s="50" t="e">
        <f>N27+N28</f>
        <v>#REF!</v>
      </c>
      <c r="O26" s="25"/>
      <c r="P26" s="50">
        <f>P27+P28</f>
        <v>367103380.27999997</v>
      </c>
      <c r="Q26" s="50" t="e">
        <f>Q27+Q28</f>
        <v>#REF!</v>
      </c>
      <c r="R26" s="52">
        <f>14828200*R28</f>
        <v>10528022.000048472</v>
      </c>
      <c r="S26" s="47"/>
    </row>
    <row r="27" spans="1:21" s="41" customFormat="1" ht="24" customHeight="1" x14ac:dyDescent="0.2">
      <c r="A27" s="20" t="s">
        <v>13</v>
      </c>
      <c r="B27" s="20"/>
      <c r="C27" s="23"/>
      <c r="D27" s="23"/>
      <c r="E27" s="23"/>
      <c r="F27" s="23"/>
      <c r="G27" s="24">
        <v>25</v>
      </c>
      <c r="H27" s="25">
        <f>H30+H33+H36+H39</f>
        <v>106294067.59999999</v>
      </c>
      <c r="I27" s="25">
        <f>I30+I33+I36+I39</f>
        <v>106294067.59999999</v>
      </c>
      <c r="J27" s="26">
        <f>1-J28</f>
        <v>0.28999999998908688</v>
      </c>
      <c r="K27" s="781" t="s">
        <v>518</v>
      </c>
      <c r="L27" s="24">
        <v>25</v>
      </c>
      <c r="M27" s="25">
        <f>M30+M33+M36+M39</f>
        <v>106896614.07999998</v>
      </c>
      <c r="N27" s="25" t="e">
        <f>#REF!+N30+N33+N36</f>
        <v>#REF!</v>
      </c>
      <c r="O27" s="26">
        <f>1-O28</f>
        <v>0.28999999999131865</v>
      </c>
      <c r="P27" s="25">
        <f>P30+P33+P36+P39</f>
        <v>106459980.27999999</v>
      </c>
      <c r="Q27" s="51" t="e">
        <f>#REF!+Q30+Q33+Q36</f>
        <v>#REF!</v>
      </c>
      <c r="R27" s="26">
        <f>1-R28</f>
        <v>0.28999999999673109</v>
      </c>
      <c r="S27" s="47"/>
    </row>
    <row r="28" spans="1:21" s="41" customFormat="1" ht="24" customHeight="1" x14ac:dyDescent="0.2">
      <c r="A28" s="20" t="s">
        <v>15</v>
      </c>
      <c r="B28" s="20"/>
      <c r="C28" s="23"/>
      <c r="D28" s="23"/>
      <c r="E28" s="23"/>
      <c r="F28" s="23"/>
      <c r="G28" s="24">
        <v>75</v>
      </c>
      <c r="H28" s="25">
        <f>H31+H34+H37+H40</f>
        <v>260237200</v>
      </c>
      <c r="I28" s="25">
        <f>I31+I34+I37+I40</f>
        <v>260237200</v>
      </c>
      <c r="J28" s="780">
        <f>H28/H26</f>
        <v>0.71000000001091312</v>
      </c>
      <c r="K28" s="781" t="s">
        <v>515</v>
      </c>
      <c r="L28" s="24">
        <v>75</v>
      </c>
      <c r="M28" s="25">
        <f>M31+M34+M37+M40</f>
        <v>261712400</v>
      </c>
      <c r="N28" s="25" t="e">
        <f>#REF!+N31+N34+N37</f>
        <v>#REF!</v>
      </c>
      <c r="O28" s="26">
        <f>M28/M26</f>
        <v>0.71000000000868135</v>
      </c>
      <c r="P28" s="25">
        <f>P31+P34+P37+P40</f>
        <v>260643400</v>
      </c>
      <c r="Q28" s="51" t="e">
        <f>#REF!+Q31+Q34+Q37</f>
        <v>#REF!</v>
      </c>
      <c r="R28" s="26">
        <f>P28/P26</f>
        <v>0.71000000000326891</v>
      </c>
      <c r="S28" s="26"/>
      <c r="T28" s="41">
        <f>K27/K28*9737500</f>
        <v>3977288.7321835645</v>
      </c>
      <c r="U28" s="51">
        <f>K28/100*(70000000)</f>
        <v>49700000.000763901</v>
      </c>
    </row>
    <row r="29" spans="1:21" s="41" customFormat="1" ht="47.25" x14ac:dyDescent="0.2">
      <c r="A29" s="32" t="s">
        <v>93</v>
      </c>
      <c r="B29" s="32"/>
      <c r="C29" s="16" t="s">
        <v>32</v>
      </c>
      <c r="D29" s="16" t="s">
        <v>12</v>
      </c>
      <c r="E29" s="23"/>
      <c r="F29" s="23"/>
      <c r="G29" s="24">
        <f>SUM(G30:G31)</f>
        <v>100</v>
      </c>
      <c r="H29" s="34">
        <f>H30+H31</f>
        <v>205338169.00999999</v>
      </c>
      <c r="I29" s="34">
        <f>I30+I31</f>
        <v>205338169.00999999</v>
      </c>
      <c r="J29" s="34"/>
      <c r="K29" s="34">
        <f t="shared" ref="K29:Q29" si="0">K30+K31</f>
        <v>0</v>
      </c>
      <c r="L29" s="34">
        <f t="shared" si="0"/>
        <v>100</v>
      </c>
      <c r="M29" s="34">
        <f t="shared" si="0"/>
        <v>207269706.07999998</v>
      </c>
      <c r="N29" s="34">
        <f t="shared" si="0"/>
        <v>207269706.07999998</v>
      </c>
      <c r="O29" s="34">
        <f t="shared" si="0"/>
        <v>1</v>
      </c>
      <c r="P29" s="34">
        <f t="shared" si="0"/>
        <v>205312360.28</v>
      </c>
      <c r="Q29" s="34">
        <f t="shared" si="0"/>
        <v>205312360.28</v>
      </c>
      <c r="S29" s="47"/>
    </row>
    <row r="30" spans="1:21" s="41" customFormat="1" ht="23.25" customHeight="1" x14ac:dyDescent="0.2">
      <c r="A30" s="20" t="s">
        <v>13</v>
      </c>
      <c r="B30" s="20"/>
      <c r="C30" s="23" t="s">
        <v>32</v>
      </c>
      <c r="D30" s="23" t="s">
        <v>12</v>
      </c>
      <c r="E30" s="23" t="s">
        <v>14</v>
      </c>
      <c r="F30" s="22" t="s">
        <v>31</v>
      </c>
      <c r="G30" s="24">
        <v>25</v>
      </c>
      <c r="H30" s="25">
        <v>59548069.009999998</v>
      </c>
      <c r="I30" s="25">
        <f>H29*$J$27</f>
        <v>59548069.010659114</v>
      </c>
      <c r="J30" s="26"/>
      <c r="K30" s="26"/>
      <c r="L30" s="24">
        <v>25</v>
      </c>
      <c r="M30" s="25">
        <v>60108214.759999998</v>
      </c>
      <c r="N30" s="25">
        <f>ROUND(M29*$O$27,2)</f>
        <v>60108214.759999998</v>
      </c>
      <c r="O30" s="26">
        <f>1-O31</f>
        <v>0.28999999998456116</v>
      </c>
      <c r="P30" s="25">
        <v>59540584.479999997</v>
      </c>
      <c r="Q30" s="37">
        <f>ROUND(P29*$R$27,2)</f>
        <v>59540584.479999997</v>
      </c>
      <c r="R30" s="26">
        <f>1-R31</f>
        <v>0.28999999999415516</v>
      </c>
      <c r="S30" s="47"/>
    </row>
    <row r="31" spans="1:21" s="41" customFormat="1" ht="23.25" customHeight="1" x14ac:dyDescent="0.2">
      <c r="A31" s="20" t="s">
        <v>15</v>
      </c>
      <c r="B31" s="20"/>
      <c r="C31" s="23" t="s">
        <v>32</v>
      </c>
      <c r="D31" s="23" t="s">
        <v>12</v>
      </c>
      <c r="E31" s="23" t="s">
        <v>16</v>
      </c>
      <c r="F31" s="22" t="s">
        <v>31</v>
      </c>
      <c r="G31" s="24">
        <v>75</v>
      </c>
      <c r="H31" s="25">
        <v>145790100</v>
      </c>
      <c r="I31" s="25">
        <f>H29*$J$28</f>
        <v>145790099.99934086</v>
      </c>
      <c r="J31" s="26"/>
      <c r="K31" s="26"/>
      <c r="L31" s="24">
        <v>75</v>
      </c>
      <c r="M31" s="25">
        <v>147161491.31999999</v>
      </c>
      <c r="N31" s="25">
        <f>ROUND(M29*$O$28,2)</f>
        <v>147161491.31999999</v>
      </c>
      <c r="O31" s="26">
        <f>M31/M29</f>
        <v>0.71000000001543884</v>
      </c>
      <c r="P31" s="25">
        <v>145771775.80000001</v>
      </c>
      <c r="Q31" s="25">
        <f>ROUND(P29*$R$28,2)</f>
        <v>145771775.80000001</v>
      </c>
      <c r="R31" s="26">
        <f>P31/P29</f>
        <v>0.71000000000584484</v>
      </c>
      <c r="S31" s="47"/>
    </row>
    <row r="32" spans="1:21" s="3" customFormat="1" ht="47.25" x14ac:dyDescent="0.2">
      <c r="A32" s="32" t="s">
        <v>33</v>
      </c>
      <c r="B32" s="14"/>
      <c r="C32" s="16" t="s">
        <v>34</v>
      </c>
      <c r="D32" s="16" t="s">
        <v>30</v>
      </c>
      <c r="E32" s="16"/>
      <c r="F32" s="16"/>
      <c r="G32" s="17">
        <f>SUM(G33:G34)</f>
        <v>100</v>
      </c>
      <c r="H32" s="34">
        <f>H33+H34</f>
        <v>90000000</v>
      </c>
      <c r="I32" s="34">
        <f>I33+I34</f>
        <v>90000000</v>
      </c>
      <c r="J32" s="34"/>
      <c r="K32" s="34">
        <f t="shared" ref="K32:Q32" si="1">K33+K34</f>
        <v>0</v>
      </c>
      <c r="L32" s="34">
        <f t="shared" si="1"/>
        <v>100</v>
      </c>
      <c r="M32" s="34">
        <f t="shared" si="1"/>
        <v>90000000</v>
      </c>
      <c r="N32" s="34">
        <f t="shared" si="1"/>
        <v>90000000</v>
      </c>
      <c r="O32" s="34">
        <f t="shared" si="1"/>
        <v>1</v>
      </c>
      <c r="P32" s="34">
        <f t="shared" si="1"/>
        <v>90000000</v>
      </c>
      <c r="Q32" s="34">
        <f t="shared" si="1"/>
        <v>90000000</v>
      </c>
      <c r="S32" s="19"/>
    </row>
    <row r="33" spans="1:23" s="41" customFormat="1" ht="18.75" x14ac:dyDescent="0.2">
      <c r="A33" s="20" t="s">
        <v>13</v>
      </c>
      <c r="B33" s="21"/>
      <c r="C33" s="23" t="s">
        <v>34</v>
      </c>
      <c r="D33" s="23" t="s">
        <v>30</v>
      </c>
      <c r="E33" s="23" t="s">
        <v>14</v>
      </c>
      <c r="F33" s="22" t="s">
        <v>31</v>
      </c>
      <c r="G33" s="24">
        <f>H33/H32*100</f>
        <v>28.999999999999996</v>
      </c>
      <c r="H33" s="25">
        <v>26100000</v>
      </c>
      <c r="I33" s="25">
        <f>H32*$J$27</f>
        <v>26099999.99901782</v>
      </c>
      <c r="J33" s="26"/>
      <c r="K33" s="26"/>
      <c r="L33" s="24">
        <f>M33/M32*100</f>
        <v>28.999999999999996</v>
      </c>
      <c r="M33" s="25">
        <v>26100000</v>
      </c>
      <c r="N33" s="25">
        <f>ROUND(M32*$O$27,2)</f>
        <v>26100000</v>
      </c>
      <c r="O33" s="26">
        <f>1-O34</f>
        <v>0.29000000000000004</v>
      </c>
      <c r="P33" s="25">
        <v>26100000</v>
      </c>
      <c r="Q33" s="37">
        <f>ROUND(P32*$R$27,2)</f>
        <v>26100000</v>
      </c>
      <c r="R33" s="26">
        <f>1-R34</f>
        <v>0.29000000000000004</v>
      </c>
      <c r="S33" s="47"/>
      <c r="W33" s="53"/>
    </row>
    <row r="34" spans="1:23" s="41" customFormat="1" ht="18.75" x14ac:dyDescent="0.2">
      <c r="A34" s="20" t="s">
        <v>15</v>
      </c>
      <c r="B34" s="33"/>
      <c r="C34" s="23" t="s">
        <v>34</v>
      </c>
      <c r="D34" s="23" t="s">
        <v>30</v>
      </c>
      <c r="E34" s="23" t="s">
        <v>16</v>
      </c>
      <c r="F34" s="22" t="s">
        <v>31</v>
      </c>
      <c r="G34" s="24">
        <f>H34/H32*100</f>
        <v>71</v>
      </c>
      <c r="H34" s="25">
        <v>63900000</v>
      </c>
      <c r="I34" s="25">
        <f>H32*$J$28</f>
        <v>63900000.00098218</v>
      </c>
      <c r="J34" s="26"/>
      <c r="K34" s="26"/>
      <c r="L34" s="24">
        <f>M34/M32*100</f>
        <v>71</v>
      </c>
      <c r="M34" s="25">
        <v>63900000</v>
      </c>
      <c r="N34" s="25">
        <f>ROUND(M32*$O$28,2)</f>
        <v>63900000</v>
      </c>
      <c r="O34" s="26">
        <f>M34/M32</f>
        <v>0.71</v>
      </c>
      <c r="P34" s="25">
        <v>63900000</v>
      </c>
      <c r="Q34" s="25">
        <f>ROUND(P32*$R$28,2)</f>
        <v>63900000</v>
      </c>
      <c r="R34" s="26">
        <f>P34/P32</f>
        <v>0.71</v>
      </c>
      <c r="S34" s="47"/>
      <c r="W34" s="53"/>
    </row>
    <row r="35" spans="1:23" s="3" customFormat="1" ht="63" x14ac:dyDescent="0.2">
      <c r="A35" s="32" t="s">
        <v>35</v>
      </c>
      <c r="B35" s="14"/>
      <c r="C35" s="16" t="s">
        <v>36</v>
      </c>
      <c r="D35" s="16" t="s">
        <v>332</v>
      </c>
      <c r="E35" s="16"/>
      <c r="F35" s="16"/>
      <c r="G35" s="17">
        <f>SUM(G36:G37)</f>
        <v>100</v>
      </c>
      <c r="H35" s="34">
        <f>H36+H37</f>
        <v>70000000</v>
      </c>
      <c r="I35" s="34">
        <f>I36+I37</f>
        <v>70000000</v>
      </c>
      <c r="J35" s="34"/>
      <c r="K35" s="34">
        <f t="shared" ref="K35:S35" si="2">K36+K37</f>
        <v>0</v>
      </c>
      <c r="L35" s="34">
        <f t="shared" si="2"/>
        <v>100</v>
      </c>
      <c r="M35" s="34">
        <f t="shared" si="2"/>
        <v>70000000</v>
      </c>
      <c r="N35" s="34">
        <f t="shared" si="2"/>
        <v>70000000</v>
      </c>
      <c r="O35" s="34">
        <f t="shared" si="2"/>
        <v>1</v>
      </c>
      <c r="P35" s="34">
        <f t="shared" si="2"/>
        <v>70000000</v>
      </c>
      <c r="Q35" s="34">
        <f t="shared" si="2"/>
        <v>70000000</v>
      </c>
      <c r="R35" s="34">
        <f t="shared" si="2"/>
        <v>1</v>
      </c>
      <c r="S35" s="34">
        <f t="shared" si="2"/>
        <v>0</v>
      </c>
    </row>
    <row r="36" spans="1:23" s="28" customFormat="1" ht="18.75" x14ac:dyDescent="0.2">
      <c r="A36" s="20" t="s">
        <v>13</v>
      </c>
      <c r="C36" s="23" t="s">
        <v>36</v>
      </c>
      <c r="D36" s="23" t="s">
        <v>332</v>
      </c>
      <c r="E36" s="23" t="s">
        <v>14</v>
      </c>
      <c r="F36" s="22" t="s">
        <v>31</v>
      </c>
      <c r="G36" s="24">
        <f>H36/H35*100</f>
        <v>28.999999999999996</v>
      </c>
      <c r="H36" s="25">
        <v>20300000</v>
      </c>
      <c r="I36" s="25">
        <f>H35*$J$27</f>
        <v>20299999.999236081</v>
      </c>
      <c r="J36" s="26"/>
      <c r="K36" s="26"/>
      <c r="L36" s="24">
        <f>M36/M35*100</f>
        <v>28.999999999999996</v>
      </c>
      <c r="M36" s="25">
        <v>20300000</v>
      </c>
      <c r="N36" s="25">
        <f>ROUND(M35*$O$27,2)</f>
        <v>20300000</v>
      </c>
      <c r="O36" s="26">
        <f>1-O37</f>
        <v>0.29000000000000004</v>
      </c>
      <c r="P36" s="25">
        <v>20300000</v>
      </c>
      <c r="Q36" s="37">
        <f>ROUND(P35*$R$27,2)</f>
        <v>20300000</v>
      </c>
      <c r="R36" s="26">
        <f>1-R37</f>
        <v>0.29000000000000004</v>
      </c>
      <c r="S36" s="54"/>
      <c r="U36" s="55"/>
    </row>
    <row r="37" spans="1:23" s="28" customFormat="1" ht="18.75" x14ac:dyDescent="0.2">
      <c r="A37" s="20" t="s">
        <v>15</v>
      </c>
      <c r="B37" s="56"/>
      <c r="C37" s="23" t="s">
        <v>36</v>
      </c>
      <c r="D37" s="23" t="s">
        <v>332</v>
      </c>
      <c r="E37" s="23" t="s">
        <v>16</v>
      </c>
      <c r="F37" s="22" t="s">
        <v>31</v>
      </c>
      <c r="G37" s="24">
        <f>H37/H35*100</f>
        <v>71</v>
      </c>
      <c r="H37" s="25">
        <v>49700000</v>
      </c>
      <c r="I37" s="25">
        <f>H35*$J$28</f>
        <v>49700000.000763915</v>
      </c>
      <c r="J37" s="26"/>
      <c r="K37" s="26"/>
      <c r="L37" s="24">
        <f>M37/M35*100</f>
        <v>71</v>
      </c>
      <c r="M37" s="25">
        <v>49700000</v>
      </c>
      <c r="N37" s="25">
        <f>ROUND(M35*$O$28,2)</f>
        <v>49700000</v>
      </c>
      <c r="O37" s="26">
        <f>M37/M35</f>
        <v>0.71</v>
      </c>
      <c r="P37" s="25">
        <v>49700000</v>
      </c>
      <c r="Q37" s="25">
        <f>ROUND(P35*$R$28,2)</f>
        <v>49700000</v>
      </c>
      <c r="R37" s="26">
        <f>P37/P35</f>
        <v>0.71</v>
      </c>
      <c r="S37" s="54"/>
      <c r="T37" s="57">
        <f>14659822*0.29</f>
        <v>4251348.38</v>
      </c>
      <c r="U37" s="55"/>
      <c r="V37" s="58"/>
    </row>
    <row r="38" spans="1:23" s="28" customFormat="1" ht="31.5" x14ac:dyDescent="0.2">
      <c r="A38" s="32" t="s">
        <v>414</v>
      </c>
      <c r="B38" s="56"/>
      <c r="C38" s="23"/>
      <c r="D38" s="23"/>
      <c r="E38" s="23"/>
      <c r="F38" s="22"/>
      <c r="G38" s="24"/>
      <c r="H38" s="34">
        <f>H39+H40</f>
        <v>1193098.5900000001</v>
      </c>
      <c r="I38" s="34">
        <f>I39+I40</f>
        <v>1193098.5900000001</v>
      </c>
      <c r="J38" s="34">
        <f t="shared" ref="J38:P38" si="3">J39+J40</f>
        <v>0</v>
      </c>
      <c r="K38" s="34">
        <f t="shared" si="3"/>
        <v>0</v>
      </c>
      <c r="L38" s="34">
        <f t="shared" si="3"/>
        <v>0</v>
      </c>
      <c r="M38" s="34">
        <f t="shared" si="3"/>
        <v>1339308</v>
      </c>
      <c r="N38" s="34">
        <f t="shared" si="3"/>
        <v>0</v>
      </c>
      <c r="O38" s="34">
        <f t="shared" si="3"/>
        <v>0</v>
      </c>
      <c r="P38" s="34">
        <f t="shared" si="3"/>
        <v>1791020</v>
      </c>
      <c r="Q38" s="25"/>
      <c r="R38" s="26"/>
      <c r="S38" s="737"/>
      <c r="T38" s="57"/>
      <c r="U38" s="55"/>
      <c r="V38" s="58"/>
    </row>
    <row r="39" spans="1:23" s="28" customFormat="1" ht="18.75" x14ac:dyDescent="0.2">
      <c r="A39" s="20" t="s">
        <v>13</v>
      </c>
      <c r="B39" s="20"/>
      <c r="C39" s="23" t="s">
        <v>413</v>
      </c>
      <c r="D39" s="23" t="s">
        <v>12</v>
      </c>
      <c r="E39" s="23" t="s">
        <v>14</v>
      </c>
      <c r="F39" s="22"/>
      <c r="G39" s="24"/>
      <c r="H39" s="25">
        <v>345998.59</v>
      </c>
      <c r="I39" s="25">
        <f>H38*$J$27</f>
        <v>345998.59108697961</v>
      </c>
      <c r="J39" s="26"/>
      <c r="K39" s="736"/>
      <c r="L39" s="24"/>
      <c r="M39" s="25">
        <v>388399.32</v>
      </c>
      <c r="N39" s="25"/>
      <c r="O39" s="26"/>
      <c r="P39" s="25">
        <v>519395.8</v>
      </c>
      <c r="Q39" s="25"/>
      <c r="R39" s="26"/>
      <c r="S39" s="737"/>
      <c r="T39" s="57"/>
      <c r="U39" s="55"/>
      <c r="V39" s="58"/>
    </row>
    <row r="40" spans="1:23" s="28" customFormat="1" ht="18.75" x14ac:dyDescent="0.2">
      <c r="A40" s="20" t="s">
        <v>15</v>
      </c>
      <c r="B40" s="20"/>
      <c r="C40" s="23" t="s">
        <v>413</v>
      </c>
      <c r="D40" s="23" t="s">
        <v>12</v>
      </c>
      <c r="E40" s="23" t="s">
        <v>16</v>
      </c>
      <c r="F40" s="22"/>
      <c r="G40" s="24"/>
      <c r="H40" s="25">
        <v>847100</v>
      </c>
      <c r="I40" s="25">
        <f>H38*$J$28</f>
        <v>847099.99891302048</v>
      </c>
      <c r="J40" s="26"/>
      <c r="K40" s="736"/>
      <c r="L40" s="24"/>
      <c r="M40" s="25">
        <v>950908.68</v>
      </c>
      <c r="N40" s="25"/>
      <c r="O40" s="26"/>
      <c r="P40" s="25">
        <v>1271624.2</v>
      </c>
      <c r="Q40" s="25"/>
      <c r="R40" s="26"/>
      <c r="S40" s="737"/>
      <c r="T40" s="57"/>
      <c r="U40" s="55"/>
      <c r="V40" s="58"/>
    </row>
    <row r="41" spans="1:23" s="365" customFormat="1" ht="112.5" x14ac:dyDescent="0.25">
      <c r="A41" s="13" t="s">
        <v>387</v>
      </c>
      <c r="B41" s="14" t="s">
        <v>480</v>
      </c>
      <c r="C41" s="82"/>
      <c r="D41" s="23"/>
      <c r="E41" s="23"/>
      <c r="F41" s="22"/>
      <c r="G41" s="376"/>
      <c r="H41" s="50">
        <f>H42+H43</f>
        <v>180616196.97</v>
      </c>
      <c r="I41" s="50"/>
      <c r="J41" s="76"/>
      <c r="K41" s="377"/>
      <c r="L41" s="376"/>
      <c r="M41" s="50">
        <f>M42+M43</f>
        <v>180616500</v>
      </c>
      <c r="N41" s="375"/>
      <c r="O41" s="375"/>
      <c r="P41" s="25"/>
      <c r="Q41" s="25"/>
      <c r="R41" s="25"/>
      <c r="S41" s="378"/>
      <c r="T41" s="379"/>
      <c r="U41" s="80"/>
      <c r="V41" s="81"/>
      <c r="W41" s="81"/>
    </row>
    <row r="42" spans="1:23" s="365" customFormat="1" ht="18.75" x14ac:dyDescent="0.25">
      <c r="A42" s="20" t="s">
        <v>13</v>
      </c>
      <c r="B42" s="375"/>
      <c r="C42" s="82" t="s">
        <v>410</v>
      </c>
      <c r="D42" s="23" t="s">
        <v>12</v>
      </c>
      <c r="E42" s="14">
        <v>31</v>
      </c>
      <c r="F42" s="22"/>
      <c r="G42" s="376"/>
      <c r="H42" s="25">
        <v>1806196.97</v>
      </c>
      <c r="I42" s="26">
        <v>1.0000193780745348E-2</v>
      </c>
      <c r="J42" s="26">
        <f>1-J43</f>
        <v>1.0000193782731537E-2</v>
      </c>
      <c r="K42" s="757" t="s">
        <v>621</v>
      </c>
      <c r="L42" s="376"/>
      <c r="M42" s="25">
        <v>1806200</v>
      </c>
      <c r="N42" s="375"/>
      <c r="O42" s="375"/>
      <c r="P42" s="25"/>
      <c r="Q42" s="25"/>
      <c r="R42" s="25"/>
      <c r="S42" s="378"/>
      <c r="T42" s="64">
        <f>VALUE(K42)*(180616185.09/100)</f>
        <v>1806196.8508389597</v>
      </c>
      <c r="U42" s="81">
        <f>178810000*K42/K43</f>
        <v>1806196.9696376396</v>
      </c>
      <c r="V42" s="81"/>
      <c r="W42" s="81"/>
    </row>
    <row r="43" spans="1:23" s="365" customFormat="1" ht="18.75" x14ac:dyDescent="0.25">
      <c r="A43" s="20" t="s">
        <v>15</v>
      </c>
      <c r="B43" s="379"/>
      <c r="C43" s="82" t="s">
        <v>410</v>
      </c>
      <c r="D43" s="23" t="s">
        <v>12</v>
      </c>
      <c r="E43" s="14">
        <v>32</v>
      </c>
      <c r="F43" s="22"/>
      <c r="G43" s="376"/>
      <c r="H43" s="25">
        <v>178810000</v>
      </c>
      <c r="I43" s="26">
        <v>0.98999980621925465</v>
      </c>
      <c r="J43" s="26">
        <f>H43/H41</f>
        <v>0.98999980621726846</v>
      </c>
      <c r="K43" s="757" t="s">
        <v>620</v>
      </c>
      <c r="L43" s="376"/>
      <c r="M43" s="25">
        <v>178810300</v>
      </c>
      <c r="N43" s="375"/>
      <c r="O43" s="375"/>
      <c r="P43" s="25"/>
      <c r="Q43" s="25"/>
      <c r="R43" s="25"/>
      <c r="S43" s="378"/>
      <c r="T43" s="64">
        <f>VALUE(K43)*(180616185.09/100)</f>
        <v>178809988.23916093</v>
      </c>
      <c r="U43" s="863">
        <f>J43*(180616185.09)</f>
        <v>178809988.23880228</v>
      </c>
      <c r="V43" s="81"/>
      <c r="W43" s="81"/>
    </row>
    <row r="44" spans="1:23" ht="67.5" x14ac:dyDescent="0.2">
      <c r="A44" s="13" t="s">
        <v>46</v>
      </c>
      <c r="B44" s="14" t="s">
        <v>602</v>
      </c>
      <c r="C44" s="22"/>
      <c r="D44" s="76"/>
      <c r="E44" s="76"/>
      <c r="F44" s="76"/>
      <c r="G44" s="24"/>
      <c r="H44" s="50">
        <f>H45+H46</f>
        <v>0</v>
      </c>
      <c r="I44" s="50"/>
      <c r="J44" s="76"/>
      <c r="K44" s="25"/>
      <c r="L44" s="24"/>
      <c r="M44" s="50">
        <f>M45+M46</f>
        <v>296418165.45999998</v>
      </c>
      <c r="N44" s="76"/>
      <c r="O44" s="76"/>
      <c r="P44" s="50">
        <f>P45+P46</f>
        <v>313567872.06</v>
      </c>
      <c r="Q44" s="25"/>
      <c r="R44" s="25"/>
      <c r="V44" s="80"/>
      <c r="W44" s="81"/>
    </row>
    <row r="45" spans="1:23" ht="18.75" x14ac:dyDescent="0.25">
      <c r="A45" s="20" t="s">
        <v>13</v>
      </c>
      <c r="B45" s="76"/>
      <c r="C45" s="82" t="s">
        <v>47</v>
      </c>
      <c r="D45" s="23" t="s">
        <v>12</v>
      </c>
      <c r="E45" s="23" t="s">
        <v>14</v>
      </c>
      <c r="F45" s="22" t="s">
        <v>48</v>
      </c>
      <c r="G45" s="24"/>
      <c r="H45" s="25"/>
      <c r="I45" s="25"/>
      <c r="J45" s="26" t="e">
        <f>1-J46</f>
        <v>#DIV/0!</v>
      </c>
      <c r="K45" s="25"/>
      <c r="L45" s="24"/>
      <c r="M45" s="76">
        <v>14820865.460000001</v>
      </c>
      <c r="N45" s="76"/>
      <c r="O45" s="76"/>
      <c r="P45" s="25">
        <v>15678372.060000001</v>
      </c>
      <c r="Q45" s="25"/>
      <c r="R45" s="25"/>
      <c r="V45" s="80"/>
      <c r="W45" s="81"/>
    </row>
    <row r="46" spans="1:23" ht="18.75" x14ac:dyDescent="0.25">
      <c r="A46" s="21" t="s">
        <v>15</v>
      </c>
      <c r="B46" s="71"/>
      <c r="C46" s="797" t="s">
        <v>47</v>
      </c>
      <c r="D46" s="23" t="s">
        <v>12</v>
      </c>
      <c r="E46" s="23" t="s">
        <v>16</v>
      </c>
      <c r="F46" s="22" t="s">
        <v>48</v>
      </c>
      <c r="G46" s="24"/>
      <c r="H46" s="25"/>
      <c r="I46" s="25"/>
      <c r="J46" s="26" t="e">
        <f>H46/H44</f>
        <v>#DIV/0!</v>
      </c>
      <c r="K46" s="25"/>
      <c r="L46" s="24"/>
      <c r="M46" s="76">
        <v>281597300</v>
      </c>
      <c r="N46" s="76"/>
      <c r="O46" s="76"/>
      <c r="P46" s="25">
        <v>297889500</v>
      </c>
      <c r="Q46" s="25"/>
      <c r="R46" s="25"/>
      <c r="S46" s="83"/>
      <c r="U46" s="25" t="e">
        <f>J46*17499976.79</f>
        <v>#DIV/0!</v>
      </c>
      <c r="V46" s="80"/>
      <c r="W46" s="81"/>
    </row>
    <row r="47" spans="1:23" ht="131.25" x14ac:dyDescent="0.25">
      <c r="A47" s="13" t="s">
        <v>611</v>
      </c>
      <c r="B47" s="14" t="s">
        <v>610</v>
      </c>
      <c r="C47" s="82"/>
      <c r="D47" s="22"/>
      <c r="E47" s="23"/>
      <c r="F47" s="22"/>
      <c r="G47" s="24"/>
      <c r="H47" s="50">
        <f>H48+H49</f>
        <v>108670000</v>
      </c>
      <c r="I47" s="50"/>
      <c r="J47" s="60"/>
      <c r="K47" s="25"/>
      <c r="L47" s="24"/>
      <c r="M47" s="76"/>
      <c r="N47" s="76"/>
      <c r="O47" s="76"/>
      <c r="P47" s="25"/>
      <c r="Q47" s="25"/>
      <c r="R47" s="25"/>
      <c r="S47" s="83"/>
      <c r="U47" s="80"/>
      <c r="V47" s="80"/>
      <c r="W47" s="81"/>
    </row>
    <row r="48" spans="1:23" ht="18.75" x14ac:dyDescent="0.25">
      <c r="A48" s="20" t="s">
        <v>13</v>
      </c>
      <c r="B48" s="798"/>
      <c r="C48" s="82" t="s">
        <v>583</v>
      </c>
      <c r="D48" s="23" t="s">
        <v>12</v>
      </c>
      <c r="E48" s="23" t="s">
        <v>14</v>
      </c>
      <c r="F48" s="22"/>
      <c r="G48" s="24"/>
      <c r="H48" s="70">
        <v>54334900</v>
      </c>
      <c r="I48" s="62"/>
      <c r="J48" s="43">
        <f>1-J49</f>
        <v>0.49999907978282898</v>
      </c>
      <c r="K48" s="980" t="s">
        <v>663</v>
      </c>
      <c r="L48" s="24"/>
      <c r="M48" s="76"/>
      <c r="N48" s="76"/>
      <c r="O48" s="76"/>
      <c r="P48" s="25"/>
      <c r="Q48" s="25"/>
      <c r="R48" s="25"/>
      <c r="S48" s="83"/>
      <c r="U48" s="80">
        <f>J48/J49*6600000</f>
        <v>6599975.7063113963</v>
      </c>
      <c r="V48" s="80"/>
      <c r="W48" s="81"/>
    </row>
    <row r="49" spans="1:26" ht="47.25" x14ac:dyDescent="0.25">
      <c r="A49" s="20" t="s">
        <v>15</v>
      </c>
      <c r="B49" s="798" t="s">
        <v>586</v>
      </c>
      <c r="C49" s="82" t="s">
        <v>583</v>
      </c>
      <c r="D49" s="23" t="s">
        <v>12</v>
      </c>
      <c r="E49" s="23" t="s">
        <v>16</v>
      </c>
      <c r="F49" s="22"/>
      <c r="G49" s="24"/>
      <c r="H49" s="70">
        <v>54335100</v>
      </c>
      <c r="I49" s="62"/>
      <c r="J49" s="36">
        <f>ROUND(H49/H47,19)</f>
        <v>0.50000092021717102</v>
      </c>
      <c r="K49" s="979" t="s">
        <v>662</v>
      </c>
      <c r="L49" s="24"/>
      <c r="M49" s="76"/>
      <c r="N49" s="76"/>
      <c r="O49" s="76"/>
      <c r="P49" s="25"/>
      <c r="Q49" s="25"/>
      <c r="R49" s="25"/>
      <c r="S49" s="83"/>
      <c r="U49" s="80">
        <f>K49/100*152050</f>
        <v>76025.139919020847</v>
      </c>
      <c r="V49" s="80"/>
      <c r="W49" s="81"/>
    </row>
    <row r="50" spans="1:26" s="3" customFormat="1" ht="56.25" x14ac:dyDescent="0.2">
      <c r="A50" s="13" t="s">
        <v>37</v>
      </c>
      <c r="B50" s="14" t="s">
        <v>475</v>
      </c>
      <c r="C50" s="59" t="s">
        <v>38</v>
      </c>
      <c r="D50" s="15"/>
      <c r="E50" s="16"/>
      <c r="F50" s="16"/>
      <c r="G50" s="17">
        <f>SUM(G51:G52)</f>
        <v>100</v>
      </c>
      <c r="H50" s="50">
        <f>H51+H52</f>
        <v>12985802.470000001</v>
      </c>
      <c r="I50" s="50"/>
      <c r="J50" s="60"/>
      <c r="K50" s="60"/>
      <c r="L50" s="17">
        <f>SUM(L51:L52)</f>
        <v>100</v>
      </c>
      <c r="M50" s="50">
        <f>M51+M52</f>
        <v>600617.30000000005</v>
      </c>
      <c r="N50" s="50">
        <f>N51+N52</f>
        <v>600617.30000000005</v>
      </c>
      <c r="O50" s="50"/>
      <c r="P50" s="50">
        <f>P51+P52</f>
        <v>0</v>
      </c>
      <c r="Q50" s="50" t="e">
        <f>Q51+Q52</f>
        <v>#DIV/0!</v>
      </c>
      <c r="R50" s="50"/>
      <c r="S50" s="50">
        <f>S51+S52</f>
        <v>0</v>
      </c>
      <c r="V50" s="91"/>
      <c r="W50" s="39"/>
    </row>
    <row r="51" spans="1:26" s="41" customFormat="1" ht="21" customHeight="1" x14ac:dyDescent="0.2">
      <c r="A51" s="20" t="s">
        <v>13</v>
      </c>
      <c r="B51" s="40"/>
      <c r="C51" s="61" t="s">
        <v>38</v>
      </c>
      <c r="D51" s="23" t="s">
        <v>12</v>
      </c>
      <c r="E51" s="23" t="s">
        <v>14</v>
      </c>
      <c r="F51" s="22" t="s">
        <v>39</v>
      </c>
      <c r="G51" s="24">
        <f>H51/H50*100</f>
        <v>19.0000000053905</v>
      </c>
      <c r="H51" s="70">
        <v>2467302.4700000002</v>
      </c>
      <c r="I51" s="62"/>
      <c r="J51" s="26">
        <f>1-J52</f>
        <v>0.19000000005390505</v>
      </c>
      <c r="K51" s="757" t="s">
        <v>517</v>
      </c>
      <c r="L51" s="24">
        <f>M51/M50*100</f>
        <v>19.000002164439817</v>
      </c>
      <c r="M51" s="25">
        <v>114117.3</v>
      </c>
      <c r="N51" s="25">
        <f>ROUND(M50*O51,2)</f>
        <v>114117.3</v>
      </c>
      <c r="O51" s="26">
        <f>1-O52</f>
        <v>0.19000002164439822</v>
      </c>
      <c r="P51" s="25"/>
      <c r="Q51" s="25" t="e">
        <f>ROUND(P50*R51,2)</f>
        <v>#DIV/0!</v>
      </c>
      <c r="R51" s="26" t="e">
        <f>1-R52</f>
        <v>#DIV/0!</v>
      </c>
      <c r="S51" s="62"/>
      <c r="T51" s="12">
        <f>J51*7000772.53</f>
        <v>1330146.781077377</v>
      </c>
      <c r="U51" s="41">
        <f>J52*12773.71</f>
        <v>10346.705099311432</v>
      </c>
      <c r="V51" s="92"/>
      <c r="W51" s="93"/>
    </row>
    <row r="52" spans="1:26" s="41" customFormat="1" ht="42" customHeight="1" x14ac:dyDescent="0.2">
      <c r="A52" s="20" t="s">
        <v>15</v>
      </c>
      <c r="B52" s="42"/>
      <c r="C52" s="61" t="s">
        <v>38</v>
      </c>
      <c r="D52" s="23" t="s">
        <v>12</v>
      </c>
      <c r="E52" s="23" t="s">
        <v>16</v>
      </c>
      <c r="F52" s="22" t="s">
        <v>39</v>
      </c>
      <c r="G52" s="24">
        <f>H52/H50*100</f>
        <v>80.999999994609496</v>
      </c>
      <c r="H52" s="70">
        <v>10518500</v>
      </c>
      <c r="I52" s="62"/>
      <c r="J52" s="36">
        <f>ROUND(H52/H50,19)</f>
        <v>0.80999999994609495</v>
      </c>
      <c r="K52" s="63" t="s">
        <v>516</v>
      </c>
      <c r="L52" s="24">
        <f>M52/M50*100</f>
        <v>80.99999783556018</v>
      </c>
      <c r="M52" s="25">
        <v>486500</v>
      </c>
      <c r="N52" s="25">
        <f>ROUND(M50*O52,2)</f>
        <v>486500</v>
      </c>
      <c r="O52" s="26">
        <f>M52/M50</f>
        <v>0.80999997835560178</v>
      </c>
      <c r="P52" s="25"/>
      <c r="Q52" s="25" t="e">
        <f>ROUND(P50*R52,2)</f>
        <v>#DIV/0!</v>
      </c>
      <c r="R52" s="26" t="e">
        <f>P52/P50</f>
        <v>#DIV/0!</v>
      </c>
      <c r="S52" s="62"/>
      <c r="T52" s="64">
        <f>VALUE(K52)*((127787.04+29974.73)/100)</f>
        <v>127787.03369149567</v>
      </c>
      <c r="U52" s="65">
        <f>J51/J52*3172362.12</f>
        <v>744134.32470508514</v>
      </c>
      <c r="V52" s="911" t="s">
        <v>643</v>
      </c>
      <c r="W52" s="93"/>
    </row>
    <row r="53" spans="1:26" s="41" customFormat="1" ht="75" x14ac:dyDescent="0.2">
      <c r="A53" s="66" t="s">
        <v>474</v>
      </c>
      <c r="B53" s="14" t="s">
        <v>473</v>
      </c>
      <c r="C53" s="67"/>
      <c r="D53" s="23" t="s">
        <v>12</v>
      </c>
      <c r="E53" s="23"/>
      <c r="F53" s="23"/>
      <c r="G53" s="24"/>
      <c r="H53" s="50">
        <f>H54+H55</f>
        <v>24583521.120000001</v>
      </c>
      <c r="I53" s="50"/>
      <c r="J53" s="26"/>
      <c r="K53" s="26"/>
      <c r="L53" s="24"/>
      <c r="M53" s="50">
        <f>M54+M55</f>
        <v>7445211.2599999998</v>
      </c>
      <c r="N53" s="50">
        <f>N54+N55</f>
        <v>7445211.2599999998</v>
      </c>
      <c r="O53" s="25"/>
      <c r="P53" s="50">
        <f>P54+P55</f>
        <v>2803098.59</v>
      </c>
      <c r="Q53" s="50">
        <f>Q54+Q55</f>
        <v>2803098.59</v>
      </c>
      <c r="R53" s="25"/>
      <c r="S53" s="68"/>
      <c r="T53" s="12"/>
      <c r="U53" s="69"/>
      <c r="V53" s="91"/>
      <c r="W53" s="93"/>
    </row>
    <row r="54" spans="1:26" s="41" customFormat="1" ht="18.75" x14ac:dyDescent="0.2">
      <c r="A54" s="20" t="s">
        <v>13</v>
      </c>
      <c r="B54" s="14"/>
      <c r="C54" s="61" t="s">
        <v>122</v>
      </c>
      <c r="D54" s="23" t="s">
        <v>12</v>
      </c>
      <c r="E54" s="23" t="s">
        <v>14</v>
      </c>
      <c r="F54" s="22" t="s">
        <v>41</v>
      </c>
      <c r="G54" s="24"/>
      <c r="H54" s="25">
        <v>7129221.1200000001</v>
      </c>
      <c r="I54" s="25"/>
      <c r="J54" s="26">
        <f>1-J55</f>
        <v>0.289999999804747</v>
      </c>
      <c r="K54" s="63" t="s">
        <v>521</v>
      </c>
      <c r="L54" s="24"/>
      <c r="M54" s="25">
        <v>2159111.2599999998</v>
      </c>
      <c r="N54" s="25">
        <f>ROUND(M53*O54,2)</f>
        <v>2159111.2599999998</v>
      </c>
      <c r="O54" s="26">
        <f>1-O55</f>
        <v>0.28999999927470155</v>
      </c>
      <c r="P54" s="25">
        <v>812898.59</v>
      </c>
      <c r="Q54" s="25">
        <f>ROUND(P53*R54,2)</f>
        <v>812898.59</v>
      </c>
      <c r="R54" s="26">
        <f>1-R55</f>
        <v>0.28999999960757705</v>
      </c>
      <c r="S54" s="68"/>
      <c r="T54" s="12"/>
      <c r="U54" s="70">
        <f>VALUE(K54)/VALUE(K55)*484427.54</f>
        <v>197864.7696715226</v>
      </c>
      <c r="V54" s="80"/>
      <c r="W54" s="93"/>
    </row>
    <row r="55" spans="1:26" s="41" customFormat="1" ht="18.75" x14ac:dyDescent="0.2">
      <c r="A55" s="20" t="s">
        <v>15</v>
      </c>
      <c r="B55" s="14"/>
      <c r="C55" s="61" t="s">
        <v>122</v>
      </c>
      <c r="D55" s="23" t="s">
        <v>12</v>
      </c>
      <c r="E55" s="23" t="s">
        <v>16</v>
      </c>
      <c r="F55" s="22" t="s">
        <v>41</v>
      </c>
      <c r="G55" s="24"/>
      <c r="H55" s="25">
        <v>17454300</v>
      </c>
      <c r="I55" s="25"/>
      <c r="J55" s="43">
        <f>ROUND(H55/H53,19)</f>
        <v>0.710000000195253</v>
      </c>
      <c r="K55" s="63" t="s">
        <v>520</v>
      </c>
      <c r="L55" s="24"/>
      <c r="M55" s="25">
        <v>5286100</v>
      </c>
      <c r="N55" s="25">
        <f>ROUND(M53*O55,2)</f>
        <v>5286100</v>
      </c>
      <c r="O55" s="26">
        <f>M55/M53</f>
        <v>0.71000000072529845</v>
      </c>
      <c r="P55" s="25">
        <v>1990200</v>
      </c>
      <c r="Q55" s="25">
        <f>ROUND(P53*R55,2)</f>
        <v>1990200</v>
      </c>
      <c r="R55" s="26">
        <f>P55/P53</f>
        <v>0.71000000039242295</v>
      </c>
      <c r="S55" s="68"/>
      <c r="U55" s="70">
        <f>VALUE(K55)*(2008890.03+820532.54)/100</f>
        <v>2008890.0252524507</v>
      </c>
      <c r="V55" s="93"/>
      <c r="W55" s="93"/>
    </row>
    <row r="56" spans="1:26" s="41" customFormat="1" ht="37.5" x14ac:dyDescent="0.25">
      <c r="A56" s="13" t="s">
        <v>42</v>
      </c>
      <c r="B56" s="14" t="s">
        <v>642</v>
      </c>
      <c r="C56" s="67"/>
      <c r="D56" s="23"/>
      <c r="E56" s="23"/>
      <c r="F56" s="23"/>
      <c r="G56" s="17" t="e">
        <f>SUM(G57:G58)</f>
        <v>#REF!</v>
      </c>
      <c r="H56" s="50">
        <f>H57+H58</f>
        <v>165387593.63999999</v>
      </c>
      <c r="I56" s="50">
        <f>I57+I58</f>
        <v>165387593.63999999</v>
      </c>
      <c r="J56" s="26"/>
      <c r="K56" s="26"/>
      <c r="L56" s="17" t="e">
        <f>SUM(L57:L58)</f>
        <v>#REF!</v>
      </c>
      <c r="M56" s="50">
        <f>M57+M58</f>
        <v>0</v>
      </c>
      <c r="N56" s="50">
        <f>N57+N58</f>
        <v>0</v>
      </c>
      <c r="O56" s="26"/>
      <c r="P56" s="50">
        <f>P57+P58</f>
        <v>0</v>
      </c>
      <c r="Q56" s="50" t="e">
        <f>Q57+Q58</f>
        <v>#DIV/0!</v>
      </c>
      <c r="R56" s="26"/>
      <c r="S56" s="68"/>
      <c r="T56" s="71"/>
      <c r="U56" s="69"/>
      <c r="V56" s="94"/>
      <c r="W56" s="94"/>
    </row>
    <row r="57" spans="1:26" s="41" customFormat="1" ht="18.75" x14ac:dyDescent="0.2">
      <c r="A57" s="20" t="s">
        <v>13</v>
      </c>
      <c r="B57" s="14"/>
      <c r="C57" s="67"/>
      <c r="D57" s="23"/>
      <c r="E57" s="23"/>
      <c r="F57" s="23"/>
      <c r="G57" s="24" t="e">
        <f>#REF!/#REF!*100</f>
        <v>#REF!</v>
      </c>
      <c r="H57" s="25">
        <f>H60+H63</f>
        <v>99888593.640000001</v>
      </c>
      <c r="I57" s="25">
        <f>I60+I63</f>
        <v>99888593.639999986</v>
      </c>
      <c r="J57" s="26">
        <f>1-J58</f>
        <v>0.6039666666740916</v>
      </c>
      <c r="K57" s="757" t="s">
        <v>523</v>
      </c>
      <c r="L57" s="24" t="e">
        <f>#REF!/#REF!*100</f>
        <v>#REF!</v>
      </c>
      <c r="M57" s="25">
        <f t="shared" ref="M57:P58" si="4">M60+M63</f>
        <v>0</v>
      </c>
      <c r="N57" s="25">
        <f t="shared" si="4"/>
        <v>0</v>
      </c>
      <c r="O57" s="25">
        <f t="shared" si="4"/>
        <v>0</v>
      </c>
      <c r="P57" s="25">
        <f t="shared" si="4"/>
        <v>0</v>
      </c>
      <c r="Q57" s="25" t="e">
        <f>Q60+Q63+#REF!</f>
        <v>#DIV/0!</v>
      </c>
      <c r="R57" s="26" t="e">
        <f>1-R58</f>
        <v>#DIV/0!</v>
      </c>
      <c r="S57" s="68"/>
      <c r="T57" s="12"/>
      <c r="V57" s="80"/>
      <c r="W57" s="95"/>
      <c r="X57" s="69"/>
    </row>
    <row r="58" spans="1:26" s="41" customFormat="1" ht="18.75" x14ac:dyDescent="0.2">
      <c r="A58" s="20" t="s">
        <v>15</v>
      </c>
      <c r="B58" s="42"/>
      <c r="C58" s="67"/>
      <c r="D58" s="23"/>
      <c r="E58" s="23"/>
      <c r="F58" s="23"/>
      <c r="G58" s="24" t="e">
        <f>#REF!/#REF!*100</f>
        <v>#REF!</v>
      </c>
      <c r="H58" s="25">
        <f>H61+H64</f>
        <v>65499000</v>
      </c>
      <c r="I58" s="25">
        <f>I61+I64</f>
        <v>65499000.000000015</v>
      </c>
      <c r="J58" s="26">
        <f>H58/H56</f>
        <v>0.3960333333259084</v>
      </c>
      <c r="K58" s="757" t="s">
        <v>522</v>
      </c>
      <c r="L58" s="24" t="e">
        <f>#REF!/#REF!*100</f>
        <v>#REF!</v>
      </c>
      <c r="M58" s="25">
        <f t="shared" si="4"/>
        <v>0</v>
      </c>
      <c r="N58" s="25">
        <f t="shared" si="4"/>
        <v>0</v>
      </c>
      <c r="O58" s="25">
        <f t="shared" si="4"/>
        <v>0</v>
      </c>
      <c r="P58" s="25">
        <f t="shared" si="4"/>
        <v>0</v>
      </c>
      <c r="Q58" s="25" t="e">
        <f>Q61+Q64+#REF!</f>
        <v>#DIV/0!</v>
      </c>
      <c r="R58" s="26" t="e">
        <f>P58/P56</f>
        <v>#DIV/0!</v>
      </c>
      <c r="S58" s="68"/>
      <c r="T58" s="72"/>
      <c r="U58" s="956">
        <f>VALUE(K58)*30750000/100</f>
        <v>12178024.999771671</v>
      </c>
      <c r="V58" s="80">
        <f>K57/K58*15000000</f>
        <v>22875599.697705302</v>
      </c>
      <c r="W58" s="96"/>
      <c r="Z58" s="41">
        <f>4758000*K58</f>
        <v>188432659.99646702</v>
      </c>
    </row>
    <row r="59" spans="1:26" s="41" customFormat="1" ht="31.5" x14ac:dyDescent="0.2">
      <c r="A59" s="32" t="s">
        <v>43</v>
      </c>
      <c r="B59" s="14"/>
      <c r="C59" s="23" t="s">
        <v>349</v>
      </c>
      <c r="D59" s="23"/>
      <c r="E59" s="23"/>
      <c r="F59" s="23"/>
      <c r="G59" s="17" t="e">
        <f>SUM(G60:G61)</f>
        <v>#REF!</v>
      </c>
      <c r="H59" s="34">
        <f>H60+H61</f>
        <v>90000000</v>
      </c>
      <c r="I59" s="34">
        <f>I60+I61</f>
        <v>90000000</v>
      </c>
      <c r="J59" s="26"/>
      <c r="K59" s="26"/>
      <c r="L59" s="17" t="e">
        <f>SUM(L60:L61)</f>
        <v>#REF!</v>
      </c>
      <c r="M59" s="34">
        <f>M60+M61</f>
        <v>0</v>
      </c>
      <c r="N59" s="34">
        <f>N60+N61</f>
        <v>0</v>
      </c>
      <c r="O59" s="26"/>
      <c r="P59" s="34">
        <f>P60+P61</f>
        <v>0</v>
      </c>
      <c r="Q59" s="34" t="e">
        <f>Q60+Q61</f>
        <v>#DIV/0!</v>
      </c>
      <c r="R59" s="26"/>
      <c r="S59" s="68"/>
      <c r="T59" s="466"/>
      <c r="U59" s="34"/>
      <c r="V59" s="80"/>
      <c r="W59" s="93"/>
    </row>
    <row r="60" spans="1:26" s="41" customFormat="1" ht="18.75" x14ac:dyDescent="0.2">
      <c r="A60" s="20" t="s">
        <v>13</v>
      </c>
      <c r="B60" s="33"/>
      <c r="C60" s="23" t="s">
        <v>349</v>
      </c>
      <c r="D60" s="23" t="s">
        <v>30</v>
      </c>
      <c r="E60" s="23" t="s">
        <v>14</v>
      </c>
      <c r="F60" s="22" t="s">
        <v>44</v>
      </c>
      <c r="G60" s="24" t="e">
        <f>#REF!/#REF!*100</f>
        <v>#REF!</v>
      </c>
      <c r="H60" s="25">
        <v>54357000</v>
      </c>
      <c r="I60" s="25">
        <f>H59*$J$57</f>
        <v>54357000.000668243</v>
      </c>
      <c r="J60" s="46"/>
      <c r="K60" s="46"/>
      <c r="L60" s="24" t="e">
        <f>#REF!/#REF!*100</f>
        <v>#REF!</v>
      </c>
      <c r="M60" s="25"/>
      <c r="N60" s="37">
        <f>ROUND(M59*$O$57,2)</f>
        <v>0</v>
      </c>
      <c r="O60" s="46"/>
      <c r="P60" s="25"/>
      <c r="Q60" s="25" t="e">
        <f>ROUND(P59*$R$57,2)</f>
        <v>#DIV/0!</v>
      </c>
      <c r="R60" s="46"/>
      <c r="S60" s="68"/>
      <c r="U60" s="69"/>
      <c r="V60" s="80"/>
      <c r="W60" s="81"/>
      <c r="X60" s="69"/>
    </row>
    <row r="61" spans="1:26" s="41" customFormat="1" ht="18.75" x14ac:dyDescent="0.2">
      <c r="A61" s="20" t="s">
        <v>15</v>
      </c>
      <c r="B61" s="33"/>
      <c r="C61" s="23" t="s">
        <v>349</v>
      </c>
      <c r="D61" s="23" t="s">
        <v>30</v>
      </c>
      <c r="E61" s="23" t="s">
        <v>16</v>
      </c>
      <c r="F61" s="22" t="s">
        <v>44</v>
      </c>
      <c r="G61" s="24" t="e">
        <f>#REF!/#REF!*100</f>
        <v>#REF!</v>
      </c>
      <c r="H61" s="25">
        <v>35643000</v>
      </c>
      <c r="I61" s="25">
        <f>H59*$J$58</f>
        <v>35642999.999331757</v>
      </c>
      <c r="J61" s="73"/>
      <c r="K61" s="73"/>
      <c r="L61" s="24" t="e">
        <f>#REF!/#REF!*100</f>
        <v>#REF!</v>
      </c>
      <c r="M61" s="25"/>
      <c r="N61" s="37">
        <f>ROUND(M59*$O$58,2)</f>
        <v>0</v>
      </c>
      <c r="O61" s="73"/>
      <c r="P61" s="25"/>
      <c r="Q61" s="25" t="e">
        <f>ROUND(P59*$R$58,2)</f>
        <v>#DIV/0!</v>
      </c>
      <c r="R61" s="73"/>
      <c r="S61" s="68"/>
      <c r="U61" s="69"/>
      <c r="V61" s="80"/>
      <c r="W61" s="81"/>
    </row>
    <row r="62" spans="1:26" ht="47.25" x14ac:dyDescent="0.2">
      <c r="A62" s="32" t="s">
        <v>45</v>
      </c>
      <c r="B62" s="13"/>
      <c r="C62" s="22" t="s">
        <v>350</v>
      </c>
      <c r="D62" s="74"/>
      <c r="E62" s="74"/>
      <c r="F62" s="75"/>
      <c r="G62" s="17" t="e">
        <f>SUM(G63:G64)</f>
        <v>#REF!</v>
      </c>
      <c r="H62" s="34">
        <f>H63+H64</f>
        <v>75387593.640000001</v>
      </c>
      <c r="I62" s="380">
        <f>I63+I64</f>
        <v>75387593.640000001</v>
      </c>
      <c r="J62" s="76"/>
      <c r="K62" s="76"/>
      <c r="L62" s="17" t="e">
        <f>SUM(L63:L64)</f>
        <v>#REF!</v>
      </c>
      <c r="M62" s="34">
        <f>M63+M64</f>
        <v>0</v>
      </c>
      <c r="N62" s="368">
        <f>N63+N64</f>
        <v>0</v>
      </c>
      <c r="O62" s="76"/>
      <c r="P62" s="34">
        <f>P63+P64</f>
        <v>0</v>
      </c>
      <c r="Q62" s="34" t="e">
        <f>Q63+Q64</f>
        <v>#DIV/0!</v>
      </c>
      <c r="R62" s="76"/>
      <c r="S62" s="77"/>
      <c r="U62" s="34"/>
      <c r="V62" s="80"/>
      <c r="W62" s="97"/>
    </row>
    <row r="63" spans="1:26" ht="18.75" x14ac:dyDescent="0.2">
      <c r="A63" s="20" t="s">
        <v>13</v>
      </c>
      <c r="B63" s="14"/>
      <c r="C63" s="22" t="s">
        <v>350</v>
      </c>
      <c r="D63" s="23" t="s">
        <v>328</v>
      </c>
      <c r="E63" s="23" t="s">
        <v>14</v>
      </c>
      <c r="F63" s="22" t="s">
        <v>44</v>
      </c>
      <c r="G63" s="24" t="e">
        <f>#REF!/#REF!*100</f>
        <v>#REF!</v>
      </c>
      <c r="H63" s="25">
        <v>45531593.640000001</v>
      </c>
      <c r="I63" s="25">
        <f>H62*$J$57</f>
        <v>45531593.639331751</v>
      </c>
      <c r="J63" s="76"/>
      <c r="K63" s="76"/>
      <c r="L63" s="24" t="e">
        <f>#REF!/#REF!*100</f>
        <v>#REF!</v>
      </c>
      <c r="M63" s="25"/>
      <c r="N63" s="37">
        <f>ROUND(M62*$O$57,2)</f>
        <v>0</v>
      </c>
      <c r="O63" s="76"/>
      <c r="P63" s="25"/>
      <c r="Q63" s="25" t="e">
        <f>ROUND(P62*$R$57,2)</f>
        <v>#DIV/0!</v>
      </c>
      <c r="R63" s="76"/>
      <c r="S63" s="78"/>
      <c r="U63" s="477"/>
      <c r="V63" s="80"/>
      <c r="W63" s="81"/>
      <c r="X63" s="69"/>
    </row>
    <row r="64" spans="1:26" ht="18.75" x14ac:dyDescent="0.2">
      <c r="A64" s="20" t="s">
        <v>15</v>
      </c>
      <c r="B64" s="76"/>
      <c r="C64" s="22" t="s">
        <v>350</v>
      </c>
      <c r="D64" s="23" t="s">
        <v>328</v>
      </c>
      <c r="E64" s="23" t="s">
        <v>16</v>
      </c>
      <c r="F64" s="22" t="s">
        <v>44</v>
      </c>
      <c r="G64" s="24" t="e">
        <f>#REF!/#REF!*100</f>
        <v>#REF!</v>
      </c>
      <c r="H64" s="25">
        <v>29856000</v>
      </c>
      <c r="I64" s="25">
        <f>H62*$J$58</f>
        <v>29856000.000668254</v>
      </c>
      <c r="J64" s="73"/>
      <c r="K64" s="73"/>
      <c r="L64" s="24" t="e">
        <f>#REF!/#REF!*100</f>
        <v>#REF!</v>
      </c>
      <c r="M64" s="25"/>
      <c r="N64" s="37">
        <f>ROUND(M62*$O$58,2)</f>
        <v>0</v>
      </c>
      <c r="O64" s="73"/>
      <c r="P64" s="25"/>
      <c r="Q64" s="25" t="e">
        <f>ROUND(P62*$R$58,2)</f>
        <v>#DIV/0!</v>
      </c>
      <c r="R64" s="73"/>
      <c r="S64" s="79"/>
      <c r="U64" s="69"/>
      <c r="V64" s="80"/>
      <c r="W64" s="81"/>
    </row>
    <row r="65" spans="1:23" s="365" customFormat="1" ht="103.5" customHeight="1" x14ac:dyDescent="0.25">
      <c r="A65" s="13" t="s">
        <v>479</v>
      </c>
      <c r="B65" s="14" t="s">
        <v>478</v>
      </c>
      <c r="C65" s="82"/>
      <c r="D65" s="23"/>
      <c r="E65" s="23"/>
      <c r="F65" s="22"/>
      <c r="G65" s="376"/>
      <c r="H65" s="50">
        <f>H66+H67</f>
        <v>37749000</v>
      </c>
      <c r="I65" s="50"/>
      <c r="J65" s="76"/>
      <c r="K65" s="25"/>
      <c r="L65" s="376"/>
      <c r="M65" s="50">
        <f>M66+M67</f>
        <v>71450864.799999997</v>
      </c>
      <c r="N65" s="375"/>
      <c r="O65" s="375"/>
      <c r="P65" s="50">
        <f>P66+P67</f>
        <v>78092818.319999993</v>
      </c>
      <c r="Q65" s="25"/>
      <c r="R65" s="25"/>
      <c r="S65" s="378"/>
      <c r="T65" s="379"/>
      <c r="V65" s="80"/>
      <c r="W65" s="81">
        <f>0.25/0.75*1350000</f>
        <v>450000</v>
      </c>
    </row>
    <row r="66" spans="1:23" s="365" customFormat="1" ht="18.75" x14ac:dyDescent="0.25">
      <c r="A66" s="20" t="s">
        <v>13</v>
      </c>
      <c r="B66" s="14"/>
      <c r="C66" s="67"/>
      <c r="D66" s="23"/>
      <c r="E66" s="23"/>
      <c r="F66" s="23"/>
      <c r="G66" s="24" t="e">
        <f>#REF!/#REF!*100</f>
        <v>#REF!</v>
      </c>
      <c r="H66" s="25">
        <f>H69+H72</f>
        <v>10947200</v>
      </c>
      <c r="I66" s="25"/>
      <c r="J66" s="26">
        <f>1-J67</f>
        <v>0.28999973509232035</v>
      </c>
      <c r="K66" s="377"/>
      <c r="L66" s="376"/>
      <c r="M66" s="25">
        <f>M69+M72+M75</f>
        <v>19418664.800000001</v>
      </c>
      <c r="N66" s="375"/>
      <c r="O66" s="375"/>
      <c r="P66" s="25">
        <f>P69+P72+P75</f>
        <v>21168618.32</v>
      </c>
      <c r="Q66" s="25"/>
      <c r="R66" s="25"/>
      <c r="S66" s="378"/>
      <c r="T66" s="379"/>
      <c r="V66" s="80"/>
      <c r="W66" s="81"/>
    </row>
    <row r="67" spans="1:23" s="365" customFormat="1" ht="18.75" x14ac:dyDescent="0.25">
      <c r="A67" s="20" t="s">
        <v>15</v>
      </c>
      <c r="B67" s="726"/>
      <c r="C67" s="67"/>
      <c r="D67" s="23"/>
      <c r="E67" s="23"/>
      <c r="F67" s="23"/>
      <c r="G67" s="24" t="e">
        <f>#REF!/#REF!*100</f>
        <v>#REF!</v>
      </c>
      <c r="H67" s="25">
        <f>H70+H73</f>
        <v>26801800</v>
      </c>
      <c r="I67" s="25"/>
      <c r="J67" s="381">
        <f>H67/H65</f>
        <v>0.71000026490767965</v>
      </c>
      <c r="K67" s="382"/>
      <c r="L67" s="383"/>
      <c r="M67" s="25">
        <f>M70+M73+M76</f>
        <v>52032200</v>
      </c>
      <c r="N67" s="384"/>
      <c r="O67" s="384"/>
      <c r="P67" s="25">
        <f>P70+P73+P76</f>
        <v>56924200</v>
      </c>
      <c r="Q67" s="362"/>
      <c r="R67" s="362"/>
      <c r="S67" s="378"/>
      <c r="T67" s="379"/>
      <c r="U67" s="25">
        <f>J66/J67*2613646.78</f>
        <v>1067544.494400227</v>
      </c>
      <c r="V67" s="81">
        <f>J67*1983731.47</f>
        <v>1408449.8692057007</v>
      </c>
      <c r="W67" s="81"/>
    </row>
    <row r="68" spans="1:23" s="365" customFormat="1" ht="94.5" x14ac:dyDescent="0.25">
      <c r="A68" s="32" t="s">
        <v>476</v>
      </c>
      <c r="B68" s="14"/>
      <c r="C68" s="23" t="s">
        <v>422</v>
      </c>
      <c r="D68" s="23"/>
      <c r="E68" s="23"/>
      <c r="F68" s="23"/>
      <c r="G68" s="17" t="e">
        <f>SUM(G69:G70)</f>
        <v>#REF!</v>
      </c>
      <c r="H68" s="34">
        <f>H69+H70</f>
        <v>28865600</v>
      </c>
      <c r="I68" s="25"/>
      <c r="J68" s="381"/>
      <c r="K68" s="382"/>
      <c r="L68" s="383"/>
      <c r="M68" s="34">
        <f>M69+M70</f>
        <v>20169014.09</v>
      </c>
      <c r="N68" s="384"/>
      <c r="O68" s="384"/>
      <c r="P68" s="34">
        <f>P69+P70</f>
        <v>20584507.050000001</v>
      </c>
      <c r="Q68" s="362"/>
      <c r="R68" s="362"/>
      <c r="S68" s="378"/>
      <c r="T68" s="379"/>
      <c r="U68" s="80"/>
      <c r="V68" s="81"/>
      <c r="W68" s="81"/>
    </row>
    <row r="69" spans="1:23" s="365" customFormat="1" ht="18.75" x14ac:dyDescent="0.25">
      <c r="A69" s="20" t="s">
        <v>13</v>
      </c>
      <c r="B69" s="33"/>
      <c r="C69" s="23" t="s">
        <v>422</v>
      </c>
      <c r="D69" s="23" t="s">
        <v>12</v>
      </c>
      <c r="E69" s="23" t="s">
        <v>14</v>
      </c>
      <c r="F69" s="22" t="s">
        <v>44</v>
      </c>
      <c r="G69" s="24" t="e">
        <f>#REF!/#REF!*100</f>
        <v>#REF!</v>
      </c>
      <c r="H69" s="25">
        <v>8371000</v>
      </c>
      <c r="I69" s="25"/>
      <c r="J69" s="26"/>
      <c r="K69" s="382"/>
      <c r="L69" s="383"/>
      <c r="M69" s="25">
        <v>5849014.0899999999</v>
      </c>
      <c r="N69" s="25"/>
      <c r="O69" s="25"/>
      <c r="P69" s="25">
        <v>5969507.0499999998</v>
      </c>
      <c r="Q69" s="362"/>
      <c r="R69" s="362"/>
      <c r="S69" s="378"/>
      <c r="T69" s="379"/>
      <c r="U69" s="80"/>
      <c r="V69" s="81"/>
      <c r="W69" s="81"/>
    </row>
    <row r="70" spans="1:23" s="365" customFormat="1" ht="18.75" x14ac:dyDescent="0.25">
      <c r="A70" s="20" t="s">
        <v>15</v>
      </c>
      <c r="B70" s="33"/>
      <c r="C70" s="23" t="s">
        <v>422</v>
      </c>
      <c r="D70" s="23" t="s">
        <v>12</v>
      </c>
      <c r="E70" s="23" t="s">
        <v>16</v>
      </c>
      <c r="F70" s="22" t="s">
        <v>44</v>
      </c>
      <c r="G70" s="24" t="e">
        <f>#REF!/#REF!*100</f>
        <v>#REF!</v>
      </c>
      <c r="H70" s="25">
        <v>20494600</v>
      </c>
      <c r="I70" s="25"/>
      <c r="J70" s="381"/>
      <c r="K70" s="382"/>
      <c r="L70" s="383"/>
      <c r="M70" s="25">
        <v>14320000</v>
      </c>
      <c r="N70" s="25"/>
      <c r="O70" s="25"/>
      <c r="P70" s="25">
        <v>14615000</v>
      </c>
      <c r="Q70" s="362"/>
      <c r="R70" s="362"/>
      <c r="S70" s="378"/>
      <c r="T70" s="379"/>
      <c r="U70" s="80"/>
      <c r="V70" s="81"/>
      <c r="W70" s="81"/>
    </row>
    <row r="71" spans="1:23" s="365" customFormat="1" ht="78.75" x14ac:dyDescent="0.25">
      <c r="A71" s="32" t="s">
        <v>477</v>
      </c>
      <c r="B71" s="13"/>
      <c r="C71" s="23" t="s">
        <v>421</v>
      </c>
      <c r="D71" s="74"/>
      <c r="E71" s="74"/>
      <c r="F71" s="75"/>
      <c r="G71" s="17" t="e">
        <f>SUM(G72:G73)</f>
        <v>#REF!</v>
      </c>
      <c r="H71" s="34">
        <f>H72+H73</f>
        <v>8883400</v>
      </c>
      <c r="I71" s="25"/>
      <c r="J71" s="381"/>
      <c r="K71" s="382"/>
      <c r="L71" s="383"/>
      <c r="M71" s="34">
        <f>M72+M73</f>
        <v>6208450.71</v>
      </c>
      <c r="N71" s="384"/>
      <c r="O71" s="384"/>
      <c r="P71" s="34">
        <f>P72+P73</f>
        <v>6335211.2699999996</v>
      </c>
      <c r="Q71" s="362"/>
      <c r="R71" s="362"/>
      <c r="S71" s="378"/>
      <c r="T71" s="379"/>
      <c r="U71" s="80"/>
      <c r="V71" s="81"/>
      <c r="W71" s="81"/>
    </row>
    <row r="72" spans="1:23" s="365" customFormat="1" ht="18.75" x14ac:dyDescent="0.25">
      <c r="A72" s="20" t="s">
        <v>13</v>
      </c>
      <c r="B72" s="14"/>
      <c r="C72" s="23" t="s">
        <v>421</v>
      </c>
      <c r="D72" s="23" t="s">
        <v>12</v>
      </c>
      <c r="E72" s="23" t="s">
        <v>14</v>
      </c>
      <c r="F72" s="22" t="s">
        <v>44</v>
      </c>
      <c r="G72" s="24" t="e">
        <f>#REF!/#REF!*100</f>
        <v>#REF!</v>
      </c>
      <c r="H72" s="25">
        <v>2576200</v>
      </c>
      <c r="I72" s="25"/>
      <c r="J72" s="26"/>
      <c r="K72" s="382"/>
      <c r="L72" s="383"/>
      <c r="M72" s="25">
        <v>1800450.71</v>
      </c>
      <c r="N72" s="384"/>
      <c r="O72" s="384"/>
      <c r="P72" s="25">
        <v>1837211.27</v>
      </c>
      <c r="Q72" s="362"/>
      <c r="R72" s="362"/>
      <c r="S72" s="378"/>
      <c r="T72" s="379"/>
      <c r="U72" s="80"/>
      <c r="V72" s="81"/>
      <c r="W72" s="81"/>
    </row>
    <row r="73" spans="1:23" s="365" customFormat="1" ht="18.75" x14ac:dyDescent="0.25">
      <c r="A73" s="20" t="s">
        <v>15</v>
      </c>
      <c r="B73" s="76"/>
      <c r="C73" s="23" t="s">
        <v>421</v>
      </c>
      <c r="D73" s="23" t="s">
        <v>12</v>
      </c>
      <c r="E73" s="23" t="s">
        <v>16</v>
      </c>
      <c r="F73" s="22" t="s">
        <v>44</v>
      </c>
      <c r="G73" s="24" t="e">
        <f>#REF!/#REF!*100</f>
        <v>#REF!</v>
      </c>
      <c r="H73" s="25">
        <v>6307200</v>
      </c>
      <c r="I73" s="25"/>
      <c r="J73" s="381"/>
      <c r="K73" s="382"/>
      <c r="L73" s="383"/>
      <c r="M73" s="25">
        <v>4408000</v>
      </c>
      <c r="N73" s="384"/>
      <c r="O73" s="384"/>
      <c r="P73" s="25">
        <v>4498000</v>
      </c>
      <c r="Q73" s="362"/>
      <c r="R73" s="362"/>
      <c r="S73" s="378"/>
      <c r="T73" s="379"/>
      <c r="U73" s="80"/>
      <c r="V73" s="81"/>
      <c r="W73" s="81"/>
    </row>
    <row r="74" spans="1:23" ht="60.75" customHeight="1" x14ac:dyDescent="0.2">
      <c r="A74" s="66" t="s">
        <v>307</v>
      </c>
      <c r="B74" s="14" t="s">
        <v>502</v>
      </c>
      <c r="C74" s="84"/>
      <c r="D74" s="76"/>
      <c r="E74" s="76"/>
      <c r="F74" s="76"/>
      <c r="G74" s="24"/>
      <c r="H74" s="50">
        <f>H75+H76</f>
        <v>16304116</v>
      </c>
      <c r="I74" s="50"/>
      <c r="J74" s="76"/>
      <c r="K74" s="76"/>
      <c r="L74" s="24"/>
      <c r="M74" s="50">
        <f>M75+M76</f>
        <v>45073400</v>
      </c>
      <c r="N74" s="76"/>
      <c r="O74" s="76"/>
      <c r="P74" s="50">
        <f>P75+P76</f>
        <v>51173100</v>
      </c>
      <c r="Q74" s="76"/>
      <c r="R74" s="76"/>
      <c r="S74" s="76"/>
      <c r="V74" s="5"/>
      <c r="W74" s="5"/>
    </row>
    <row r="75" spans="1:23" ht="18.75" x14ac:dyDescent="0.2">
      <c r="A75" s="20" t="s">
        <v>13</v>
      </c>
      <c r="B75" s="20"/>
      <c r="C75" s="23"/>
      <c r="D75" s="23"/>
      <c r="E75" s="23"/>
      <c r="F75" s="23"/>
      <c r="G75" s="24">
        <v>25</v>
      </c>
      <c r="H75" s="25">
        <f>H78+H81+H84+H87</f>
        <v>3477716</v>
      </c>
      <c r="I75" s="25"/>
      <c r="J75" s="26"/>
      <c r="K75" s="26"/>
      <c r="L75" s="376"/>
      <c r="M75" s="25">
        <f>M78+M81+M84+M87</f>
        <v>11769200</v>
      </c>
      <c r="N75" s="76"/>
      <c r="O75" s="76"/>
      <c r="P75" s="25">
        <f>P78+P81+P84+P87</f>
        <v>13361900</v>
      </c>
      <c r="Q75" s="76"/>
      <c r="R75" s="76"/>
      <c r="S75" s="76"/>
    </row>
    <row r="76" spans="1:23" ht="18.75" x14ac:dyDescent="0.2">
      <c r="A76" s="20" t="s">
        <v>15</v>
      </c>
      <c r="B76" s="20"/>
      <c r="C76" s="23"/>
      <c r="D76" s="23"/>
      <c r="E76" s="23"/>
      <c r="F76" s="23"/>
      <c r="G76" s="24">
        <v>75</v>
      </c>
      <c r="H76" s="25">
        <f>H79+H82+H85+H88</f>
        <v>12826400</v>
      </c>
      <c r="I76" s="25"/>
      <c r="J76" s="26"/>
      <c r="K76" s="26"/>
      <c r="L76" s="376"/>
      <c r="M76" s="25">
        <f>M79+M82+M85+M88</f>
        <v>33304200</v>
      </c>
      <c r="N76" s="76"/>
      <c r="O76" s="76"/>
      <c r="P76" s="25">
        <f>P79+P82+P85+P88</f>
        <v>37811200</v>
      </c>
      <c r="Q76" s="76"/>
      <c r="R76" s="76"/>
      <c r="S76" s="76"/>
    </row>
    <row r="77" spans="1:23" ht="47.25" x14ac:dyDescent="0.2">
      <c r="A77" s="32" t="s">
        <v>351</v>
      </c>
      <c r="B77" s="32"/>
      <c r="C77" s="16" t="s">
        <v>323</v>
      </c>
      <c r="D77" s="16" t="s">
        <v>12</v>
      </c>
      <c r="E77" s="23"/>
      <c r="F77" s="23"/>
      <c r="G77" s="24">
        <f>SUM(G78:G79)</f>
        <v>100</v>
      </c>
      <c r="H77" s="34">
        <f>H78+H79</f>
        <v>12611800</v>
      </c>
      <c r="I77" s="25"/>
      <c r="J77" s="26"/>
      <c r="K77" s="26"/>
      <c r="L77" s="376"/>
      <c r="M77" s="34">
        <f>M78+M79</f>
        <v>45073400</v>
      </c>
      <c r="N77" s="76"/>
      <c r="O77" s="76"/>
      <c r="P77" s="34">
        <f>P78+P79</f>
        <v>51173100</v>
      </c>
      <c r="Q77" s="76"/>
      <c r="R77" s="76"/>
      <c r="S77" s="76"/>
    </row>
    <row r="78" spans="1:23" ht="18.75" x14ac:dyDescent="0.2">
      <c r="A78" s="20" t="s">
        <v>13</v>
      </c>
      <c r="B78" s="20"/>
      <c r="C78" s="23" t="s">
        <v>323</v>
      </c>
      <c r="D78" s="23" t="s">
        <v>248</v>
      </c>
      <c r="E78" s="23" t="s">
        <v>14</v>
      </c>
      <c r="F78" s="22"/>
      <c r="G78" s="24">
        <v>25</v>
      </c>
      <c r="H78" s="25">
        <v>3293100</v>
      </c>
      <c r="I78" s="25"/>
      <c r="J78" s="26">
        <f>1-J79</f>
        <v>0.26111260882665444</v>
      </c>
      <c r="K78" s="26"/>
      <c r="L78" s="376"/>
      <c r="M78" s="25">
        <v>11769200</v>
      </c>
      <c r="N78" s="25"/>
      <c r="O78" s="25"/>
      <c r="P78" s="25">
        <v>13361900</v>
      </c>
      <c r="Q78" s="76"/>
      <c r="R78" s="76"/>
      <c r="S78" s="76"/>
    </row>
    <row r="79" spans="1:23" ht="18.75" x14ac:dyDescent="0.2">
      <c r="A79" s="20" t="s">
        <v>15</v>
      </c>
      <c r="B79" s="20"/>
      <c r="C79" s="23" t="s">
        <v>323</v>
      </c>
      <c r="D79" s="23" t="s">
        <v>248</v>
      </c>
      <c r="E79" s="23" t="s">
        <v>16</v>
      </c>
      <c r="F79" s="22"/>
      <c r="G79" s="24">
        <v>75</v>
      </c>
      <c r="H79" s="25">
        <v>9318700</v>
      </c>
      <c r="I79" s="25"/>
      <c r="J79" s="26">
        <f>H79/H77</f>
        <v>0.73888739117334556</v>
      </c>
      <c r="K79" s="26"/>
      <c r="L79" s="376"/>
      <c r="M79" s="25">
        <v>33304200</v>
      </c>
      <c r="N79" s="25"/>
      <c r="O79" s="25"/>
      <c r="P79" s="25">
        <v>37811200</v>
      </c>
      <c r="Q79" s="76"/>
      <c r="R79" s="76"/>
      <c r="S79" s="76"/>
    </row>
    <row r="80" spans="1:23" ht="101.25" customHeight="1" x14ac:dyDescent="0.2">
      <c r="A80" s="32" t="s">
        <v>308</v>
      </c>
      <c r="B80" s="14"/>
      <c r="C80" s="16" t="s">
        <v>325</v>
      </c>
      <c r="D80" s="16" t="s">
        <v>12</v>
      </c>
      <c r="E80" s="23"/>
      <c r="F80" s="16"/>
      <c r="G80" s="17">
        <f>SUM(G81:G82)</f>
        <v>100</v>
      </c>
      <c r="H80" s="34">
        <f>H81+H82</f>
        <v>354840</v>
      </c>
      <c r="I80" s="25"/>
      <c r="J80" s="26"/>
      <c r="K80" s="26"/>
      <c r="L80" s="376"/>
      <c r="M80" s="375"/>
      <c r="N80" s="76"/>
      <c r="O80" s="76"/>
      <c r="P80" s="76"/>
      <c r="Q80" s="76"/>
      <c r="R80" s="76"/>
      <c r="S80" s="76"/>
    </row>
    <row r="81" spans="1:21" ht="18.75" x14ac:dyDescent="0.2">
      <c r="A81" s="20" t="s">
        <v>13</v>
      </c>
      <c r="B81" s="21"/>
      <c r="C81" s="23" t="s">
        <v>325</v>
      </c>
      <c r="D81" s="23" t="s">
        <v>12</v>
      </c>
      <c r="E81" s="23" t="s">
        <v>14</v>
      </c>
      <c r="F81" s="22"/>
      <c r="G81" s="24">
        <f>H81/H80*100</f>
        <v>4.9994363656859431</v>
      </c>
      <c r="H81" s="25">
        <v>17740</v>
      </c>
      <c r="I81" s="51"/>
      <c r="J81" s="26">
        <f>1-J82</f>
        <v>4.9994363656859386E-2</v>
      </c>
      <c r="K81" s="26"/>
      <c r="L81" s="376"/>
      <c r="M81" s="375"/>
      <c r="N81" s="76"/>
      <c r="O81" s="76"/>
      <c r="P81" s="76"/>
      <c r="Q81" s="76"/>
      <c r="R81" s="76"/>
      <c r="S81" s="76"/>
    </row>
    <row r="82" spans="1:21" ht="18.75" x14ac:dyDescent="0.2">
      <c r="A82" s="20" t="s">
        <v>15</v>
      </c>
      <c r="B82" s="33"/>
      <c r="C82" s="23" t="s">
        <v>325</v>
      </c>
      <c r="D82" s="23" t="s">
        <v>12</v>
      </c>
      <c r="E82" s="23" t="s">
        <v>16</v>
      </c>
      <c r="F82" s="22"/>
      <c r="G82" s="24">
        <f>H82/H80*100</f>
        <v>95.000563634314062</v>
      </c>
      <c r="H82" s="25">
        <v>337100</v>
      </c>
      <c r="I82" s="25"/>
      <c r="J82" s="26">
        <f>H82/H80</f>
        <v>0.95000563634314061</v>
      </c>
      <c r="K82" s="26"/>
      <c r="L82" s="376"/>
      <c r="M82" s="375"/>
      <c r="N82" s="76"/>
      <c r="O82" s="76"/>
      <c r="P82" s="76"/>
      <c r="Q82" s="76"/>
      <c r="R82" s="76"/>
      <c r="S82" s="76"/>
      <c r="T82">
        <f>J82*335338.65</f>
        <v>318573.60758369975</v>
      </c>
      <c r="U82" s="1">
        <f>J81/J82*100000</f>
        <v>5262.5333728863789</v>
      </c>
    </row>
    <row r="83" spans="1:21" ht="78.75" x14ac:dyDescent="0.2">
      <c r="A83" s="32" t="s">
        <v>306</v>
      </c>
      <c r="B83" s="32"/>
      <c r="C83" s="16" t="s">
        <v>324</v>
      </c>
      <c r="D83" s="16" t="s">
        <v>12</v>
      </c>
      <c r="E83" s="23"/>
      <c r="F83" s="23"/>
      <c r="G83" s="24">
        <f>SUM(G84:G85)</f>
        <v>100</v>
      </c>
      <c r="H83" s="34">
        <f>H84+H85</f>
        <v>925160</v>
      </c>
      <c r="I83" s="25"/>
      <c r="J83" s="26"/>
      <c r="K83" s="26"/>
      <c r="L83" s="376"/>
      <c r="M83" s="375"/>
      <c r="N83" s="76"/>
      <c r="O83" s="76"/>
      <c r="P83" s="76"/>
      <c r="Q83" s="76"/>
      <c r="R83" s="76"/>
      <c r="S83" s="76"/>
    </row>
    <row r="84" spans="1:21" ht="18.75" x14ac:dyDescent="0.2">
      <c r="A84" s="20" t="s">
        <v>13</v>
      </c>
      <c r="B84" s="20"/>
      <c r="C84" s="23" t="s">
        <v>324</v>
      </c>
      <c r="D84" s="23" t="s">
        <v>12</v>
      </c>
      <c r="E84" s="23" t="s">
        <v>14</v>
      </c>
      <c r="F84" s="22"/>
      <c r="G84" s="24">
        <v>25</v>
      </c>
      <c r="H84" s="25">
        <v>46260</v>
      </c>
      <c r="I84" s="25"/>
      <c r="J84" s="26">
        <f>1-J85</f>
        <v>5.0002161788231247E-2</v>
      </c>
      <c r="K84" s="63" t="s">
        <v>527</v>
      </c>
      <c r="L84" s="376"/>
      <c r="M84" s="375"/>
      <c r="N84" s="76"/>
      <c r="O84" s="76"/>
      <c r="P84" s="76"/>
      <c r="Q84" s="76"/>
      <c r="R84" s="76"/>
      <c r="S84" s="76"/>
    </row>
    <row r="85" spans="1:21" ht="18.75" x14ac:dyDescent="0.2">
      <c r="A85" s="20" t="s">
        <v>15</v>
      </c>
      <c r="B85" s="20"/>
      <c r="C85" s="23" t="s">
        <v>324</v>
      </c>
      <c r="D85" s="23" t="s">
        <v>12</v>
      </c>
      <c r="E85" s="23" t="s">
        <v>16</v>
      </c>
      <c r="F85" s="22"/>
      <c r="G85" s="24">
        <v>75</v>
      </c>
      <c r="H85" s="25">
        <v>878900</v>
      </c>
      <c r="I85" s="25"/>
      <c r="J85" s="26">
        <f>H85/H83</f>
        <v>0.94999783821176875</v>
      </c>
      <c r="K85" s="63" t="s">
        <v>526</v>
      </c>
      <c r="L85" s="376"/>
      <c r="M85" s="375"/>
      <c r="N85" s="76"/>
      <c r="O85" s="76"/>
      <c r="P85" s="76"/>
      <c r="Q85" s="76"/>
      <c r="R85" s="76"/>
      <c r="S85" s="76"/>
      <c r="T85" s="64">
        <f>VALUE(K85)*(110000/100)</f>
        <v>104499.76220329449</v>
      </c>
      <c r="U85" s="954"/>
    </row>
    <row r="86" spans="1:21" ht="63" x14ac:dyDescent="0.2">
      <c r="A86" s="32" t="s">
        <v>309</v>
      </c>
      <c r="B86" s="14"/>
      <c r="C86" s="16"/>
      <c r="D86" s="16"/>
      <c r="E86" s="16"/>
      <c r="F86" s="16"/>
      <c r="G86" s="17">
        <f>SUM(G87:G88)</f>
        <v>100</v>
      </c>
      <c r="H86" s="34">
        <f>H87+H88</f>
        <v>2412316</v>
      </c>
      <c r="I86" s="76"/>
      <c r="J86" s="76"/>
      <c r="K86" s="375"/>
      <c r="L86" s="375"/>
      <c r="M86" s="375"/>
      <c r="N86" s="76"/>
      <c r="O86" s="76"/>
      <c r="P86" s="76"/>
      <c r="Q86" s="76"/>
      <c r="R86" s="76"/>
      <c r="S86" s="76"/>
    </row>
    <row r="87" spans="1:21" ht="18.75" x14ac:dyDescent="0.2">
      <c r="A87" s="20" t="s">
        <v>13</v>
      </c>
      <c r="B87" s="28"/>
      <c r="C87" s="754" t="s">
        <v>500</v>
      </c>
      <c r="D87" s="23"/>
      <c r="E87" s="23" t="s">
        <v>14</v>
      </c>
      <c r="F87" s="22"/>
      <c r="G87" s="24">
        <f>H87/H86*100</f>
        <v>5.0000082907877736</v>
      </c>
      <c r="H87" s="25">
        <v>120616</v>
      </c>
      <c r="I87" s="366"/>
      <c r="J87" s="26">
        <f>1-J88</f>
        <v>5.0000082907877719E-2</v>
      </c>
      <c r="K87" s="375"/>
      <c r="L87" s="375"/>
      <c r="M87" s="375"/>
      <c r="N87" s="76"/>
      <c r="O87" s="76"/>
      <c r="P87" s="76"/>
      <c r="Q87" s="76"/>
      <c r="R87" s="76"/>
      <c r="S87" s="76"/>
    </row>
    <row r="88" spans="1:21" ht="18.75" x14ac:dyDescent="0.2">
      <c r="A88" s="20" t="s">
        <v>15</v>
      </c>
      <c r="B88" s="14"/>
      <c r="C88" s="754" t="s">
        <v>501</v>
      </c>
      <c r="D88" s="23"/>
      <c r="E88" s="23" t="s">
        <v>16</v>
      </c>
      <c r="F88" s="22"/>
      <c r="G88" s="24">
        <f>H88/H86*100</f>
        <v>94.999991709212225</v>
      </c>
      <c r="H88" s="25">
        <v>2291700</v>
      </c>
      <c r="I88" s="367"/>
      <c r="J88" s="26">
        <f>H88/H86</f>
        <v>0.94999991709212228</v>
      </c>
      <c r="K88" s="375"/>
      <c r="L88" s="375"/>
      <c r="M88" s="76"/>
      <c r="N88" s="76"/>
      <c r="O88" s="76"/>
      <c r="P88" s="76"/>
      <c r="Q88" s="76"/>
      <c r="R88" s="76"/>
      <c r="S88" s="76"/>
      <c r="T88" s="1">
        <f>J87/J88*864515.12</f>
        <v>45500.875207889316</v>
      </c>
      <c r="U88" s="1">
        <f>J88*910016</f>
        <v>864515.12455250474</v>
      </c>
    </row>
    <row r="89" spans="1:21" x14ac:dyDescent="0.2">
      <c r="G89" s="5"/>
    </row>
    <row r="90" spans="1:21" ht="20.25" x14ac:dyDescent="0.2">
      <c r="A90" s="85" t="s">
        <v>49</v>
      </c>
      <c r="B90" s="86"/>
      <c r="C90" s="87"/>
      <c r="D90" s="86"/>
      <c r="E90" s="86"/>
      <c r="F90" s="86"/>
      <c r="G90" s="86"/>
      <c r="H90" s="88">
        <f>H91+H92</f>
        <v>1631319751.3299999</v>
      </c>
      <c r="I90" s="88">
        <f>I91+I92</f>
        <v>1250411115.77</v>
      </c>
      <c r="J90" s="88"/>
      <c r="K90" s="88"/>
      <c r="L90" s="88"/>
      <c r="M90" s="88"/>
      <c r="N90" s="88"/>
      <c r="O90" s="88"/>
      <c r="P90" s="88"/>
      <c r="Q90" s="88"/>
      <c r="R90" s="88"/>
      <c r="S90" s="88"/>
    </row>
    <row r="91" spans="1:21" ht="18.75" x14ac:dyDescent="0.2">
      <c r="A91" s="89" t="s">
        <v>13</v>
      </c>
      <c r="B91" s="86"/>
      <c r="C91" s="87"/>
      <c r="D91" s="86"/>
      <c r="E91" s="86"/>
      <c r="F91" s="86"/>
      <c r="G91" s="86"/>
      <c r="H91" s="90">
        <f>SUMIF($E$5:$E$88,31,H5:H88)</f>
        <v>494707951.32999998</v>
      </c>
      <c r="I91" s="90">
        <f>SUMIF($E$5:$E$88,31,I5:I88)</f>
        <v>414545414.78000015</v>
      </c>
      <c r="J91" s="90"/>
      <c r="K91" s="90"/>
      <c r="L91" s="90"/>
      <c r="M91" s="90"/>
      <c r="N91" s="90"/>
      <c r="O91" s="90"/>
      <c r="P91" s="90"/>
      <c r="Q91" s="90"/>
      <c r="R91" s="90"/>
      <c r="S91" s="90"/>
    </row>
    <row r="92" spans="1:21" ht="18.75" x14ac:dyDescent="0.2">
      <c r="A92" s="89" t="s">
        <v>15</v>
      </c>
      <c r="B92" s="86"/>
      <c r="C92" s="87"/>
      <c r="D92" s="86"/>
      <c r="E92" s="86"/>
      <c r="F92" s="86"/>
      <c r="G92" s="86"/>
      <c r="H92" s="90">
        <f>SUMIF($E$5:$E$88,32,H5:H88)</f>
        <v>1136611800</v>
      </c>
      <c r="I92" s="90">
        <f>SUMIF($E$5:$E$88,32,I5:I88)</f>
        <v>835865700.98999977</v>
      </c>
      <c r="J92" s="90"/>
      <c r="K92" s="90"/>
      <c r="L92" s="90"/>
      <c r="M92" s="90"/>
      <c r="N92" s="90"/>
      <c r="O92" s="90"/>
      <c r="P92" s="90"/>
      <c r="Q92" s="90"/>
      <c r="R92" s="90"/>
      <c r="S92" s="90"/>
    </row>
  </sheetData>
  <autoFilter ref="A4:WWB88"/>
  <mergeCells count="1">
    <mergeCell ref="A1:H1"/>
  </mergeCells>
  <pageMargins left="0.35433070866141736" right="0.35433070866141736" top="0.43307086614173229" bottom="0.39370078740157483" header="0.31496062992125984" footer="0.31496062992125984"/>
  <pageSetup paperSize="9" scale="6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N40"/>
  <sheetViews>
    <sheetView view="pageBreakPreview" topLeftCell="A3" zoomScale="85" zoomScaleNormal="85" zoomScaleSheetLayoutView="85" workbookViewId="0">
      <pane xSplit="3" ySplit="4" topLeftCell="D7" activePane="bottomRight" state="frozen"/>
      <selection activeCell="A3" sqref="A3"/>
      <selection pane="topRight" activeCell="D3" sqref="D3"/>
      <selection pane="bottomLeft" activeCell="A7" sqref="A7"/>
      <selection pane="bottomRight" activeCell="D7" sqref="D7"/>
    </sheetView>
  </sheetViews>
  <sheetFormatPr defaultRowHeight="15.75" x14ac:dyDescent="0.2"/>
  <cols>
    <col min="1" max="1" width="28" style="101" customWidth="1"/>
    <col min="2" max="2" width="42.85546875" style="101" customWidth="1"/>
    <col min="3" max="3" width="13.7109375" style="105" customWidth="1"/>
    <col min="4" max="4" width="16.5703125" style="595" customWidth="1"/>
    <col min="5" max="5" width="17.140625" style="101" customWidth="1"/>
    <col min="6" max="6" width="16.85546875" style="101" customWidth="1"/>
    <col min="7" max="7" width="16.85546875" style="595" customWidth="1"/>
    <col min="8" max="8" width="16.28515625" style="101" customWidth="1"/>
    <col min="9" max="9" width="16.85546875" style="101" customWidth="1"/>
    <col min="10" max="10" width="16.5703125" style="595" customWidth="1"/>
    <col min="11" max="11" width="16.5703125" style="101" customWidth="1"/>
    <col min="12" max="12" width="18" style="101" customWidth="1"/>
    <col min="13" max="13" width="19.140625" style="101" customWidth="1"/>
    <col min="14" max="14" width="26" style="101" customWidth="1"/>
    <col min="15" max="16384" width="9.140625" style="101"/>
  </cols>
  <sheetData>
    <row r="4" spans="1:12" x14ac:dyDescent="0.2">
      <c r="A4" s="1054" t="s">
        <v>2</v>
      </c>
      <c r="B4" s="1054" t="s">
        <v>391</v>
      </c>
      <c r="C4" s="1054" t="s">
        <v>430</v>
      </c>
      <c r="D4" s="1215" t="s">
        <v>8</v>
      </c>
      <c r="E4" s="1215"/>
      <c r="F4" s="1215"/>
      <c r="G4" s="1215" t="s">
        <v>50</v>
      </c>
      <c r="H4" s="1215"/>
      <c r="I4" s="1215"/>
      <c r="J4" s="1215" t="s">
        <v>392</v>
      </c>
      <c r="K4" s="1215"/>
      <c r="L4" s="1215"/>
    </row>
    <row r="5" spans="1:12" ht="47.25" customHeight="1" x14ac:dyDescent="0.2">
      <c r="A5" s="1054"/>
      <c r="B5" s="1054"/>
      <c r="C5" s="1054"/>
      <c r="D5" s="596" t="s">
        <v>261</v>
      </c>
      <c r="E5" s="597" t="s">
        <v>13</v>
      </c>
      <c r="F5" s="597" t="s">
        <v>15</v>
      </c>
      <c r="G5" s="596" t="s">
        <v>261</v>
      </c>
      <c r="H5" s="597" t="s">
        <v>13</v>
      </c>
      <c r="I5" s="597" t="s">
        <v>15</v>
      </c>
      <c r="J5" s="596" t="s">
        <v>261</v>
      </c>
      <c r="K5" s="597" t="s">
        <v>13</v>
      </c>
      <c r="L5" s="597" t="s">
        <v>15</v>
      </c>
    </row>
    <row r="6" spans="1:12" s="416" customFormat="1" x14ac:dyDescent="0.2">
      <c r="A6" s="593">
        <v>1</v>
      </c>
      <c r="B6" s="364">
        <v>2</v>
      </c>
      <c r="C6" s="571">
        <v>3</v>
      </c>
      <c r="D6" s="596">
        <v>4</v>
      </c>
      <c r="E6" s="364">
        <v>5</v>
      </c>
      <c r="F6" s="364">
        <v>6</v>
      </c>
      <c r="G6" s="596">
        <v>7</v>
      </c>
      <c r="H6" s="364">
        <v>8</v>
      </c>
      <c r="I6" s="364">
        <v>9</v>
      </c>
      <c r="J6" s="596">
        <v>10</v>
      </c>
      <c r="K6" s="364">
        <v>11</v>
      </c>
      <c r="L6" s="364">
        <v>12</v>
      </c>
    </row>
    <row r="7" spans="1:12" s="600" customFormat="1" ht="39.75" customHeight="1" x14ac:dyDescent="0.2">
      <c r="A7" s="1217" t="s">
        <v>11</v>
      </c>
      <c r="B7" s="1217"/>
      <c r="C7" s="598"/>
      <c r="D7" s="599">
        <f>SUMIF($B$8:$B$23,"Итого",D8:D23)</f>
        <v>718492253.52999985</v>
      </c>
      <c r="E7" s="599">
        <f t="shared" ref="E7:L7" si="0">SUMIF($B$8:$B$23,"Итого",E8:E23)</f>
        <v>208362753.52999997</v>
      </c>
      <c r="F7" s="599">
        <f t="shared" si="0"/>
        <v>510129500</v>
      </c>
      <c r="G7" s="599">
        <f t="shared" si="0"/>
        <v>711529154.93119991</v>
      </c>
      <c r="H7" s="599">
        <f t="shared" si="0"/>
        <v>206343454.93000004</v>
      </c>
      <c r="I7" s="599">
        <f t="shared" si="0"/>
        <v>505185700.00119996</v>
      </c>
      <c r="J7" s="599">
        <f t="shared" si="0"/>
        <v>709050563.37800002</v>
      </c>
      <c r="K7" s="599">
        <f t="shared" si="0"/>
        <v>205624663.38000003</v>
      </c>
      <c r="L7" s="599">
        <f t="shared" si="0"/>
        <v>503425899.99800003</v>
      </c>
    </row>
    <row r="8" spans="1:12" ht="150.75" customHeight="1" x14ac:dyDescent="0.2">
      <c r="A8" s="1216" t="s">
        <v>17</v>
      </c>
      <c r="B8" s="42" t="s">
        <v>395</v>
      </c>
      <c r="C8" s="42" t="s">
        <v>18</v>
      </c>
      <c r="D8" s="601">
        <f>E8+F8</f>
        <v>155601690.13999999</v>
      </c>
      <c r="E8" s="602">
        <v>45124490.140000001</v>
      </c>
      <c r="F8" s="602">
        <v>110477200</v>
      </c>
      <c r="G8" s="601">
        <f>H8+I8</f>
        <v>143272535.21000001</v>
      </c>
      <c r="H8" s="602">
        <v>41549035.210000001</v>
      </c>
      <c r="I8" s="602">
        <v>101723500</v>
      </c>
      <c r="J8" s="601">
        <f>K8+L8</f>
        <v>143272535.21000001</v>
      </c>
      <c r="K8" s="602">
        <v>41549035.210000001</v>
      </c>
      <c r="L8" s="602">
        <v>101723500</v>
      </c>
    </row>
    <row r="9" spans="1:12" s="600" customFormat="1" ht="22.5" customHeight="1" x14ac:dyDescent="0.2">
      <c r="A9" s="1216"/>
      <c r="B9" s="603" t="s">
        <v>289</v>
      </c>
      <c r="C9" s="603"/>
      <c r="D9" s="604">
        <f>D8</f>
        <v>155601690.13999999</v>
      </c>
      <c r="E9" s="604">
        <f t="shared" ref="E9:L9" si="1">E8</f>
        <v>45124490.140000001</v>
      </c>
      <c r="F9" s="604">
        <f t="shared" si="1"/>
        <v>110477200</v>
      </c>
      <c r="G9" s="604">
        <f t="shared" si="1"/>
        <v>143272535.21000001</v>
      </c>
      <c r="H9" s="604">
        <f t="shared" si="1"/>
        <v>41549035.210000001</v>
      </c>
      <c r="I9" s="604">
        <f t="shared" si="1"/>
        <v>101723500</v>
      </c>
      <c r="J9" s="604">
        <f t="shared" si="1"/>
        <v>143272535.21000001</v>
      </c>
      <c r="K9" s="604">
        <f t="shared" si="1"/>
        <v>41549035.210000001</v>
      </c>
      <c r="L9" s="604">
        <f t="shared" si="1"/>
        <v>101723500</v>
      </c>
    </row>
    <row r="10" spans="1:12" ht="87.75" customHeight="1" x14ac:dyDescent="0.2">
      <c r="A10" s="1216" t="s">
        <v>20</v>
      </c>
      <c r="B10" s="42" t="s">
        <v>396</v>
      </c>
      <c r="C10" s="42" t="s">
        <v>21</v>
      </c>
      <c r="D10" s="218">
        <f>E10+F10</f>
        <v>67406105.939999998</v>
      </c>
      <c r="E10" s="164">
        <v>19547770.719999999</v>
      </c>
      <c r="F10" s="164">
        <v>47858335.219999999</v>
      </c>
      <c r="G10" s="218">
        <f>H10+I10</f>
        <v>67783901.409999996</v>
      </c>
      <c r="H10" s="164">
        <v>19657331.41</v>
      </c>
      <c r="I10" s="164">
        <v>48126570</v>
      </c>
      <c r="J10" s="601">
        <f>K10+L10</f>
        <v>67783943.659999996</v>
      </c>
      <c r="K10" s="602">
        <v>19657343.66</v>
      </c>
      <c r="L10" s="602">
        <f>48126600</f>
        <v>48126600</v>
      </c>
    </row>
    <row r="11" spans="1:12" s="600" customFormat="1" x14ac:dyDescent="0.2">
      <c r="A11" s="1216"/>
      <c r="B11" s="603" t="s">
        <v>289</v>
      </c>
      <c r="C11" s="603"/>
      <c r="D11" s="604">
        <f>D10</f>
        <v>67406105.939999998</v>
      </c>
      <c r="E11" s="604">
        <f t="shared" ref="E11:L11" si="2">E10</f>
        <v>19547770.719999999</v>
      </c>
      <c r="F11" s="604">
        <f t="shared" si="2"/>
        <v>47858335.219999999</v>
      </c>
      <c r="G11" s="604">
        <f t="shared" si="2"/>
        <v>67783901.409999996</v>
      </c>
      <c r="H11" s="604">
        <f t="shared" si="2"/>
        <v>19657331.41</v>
      </c>
      <c r="I11" s="604">
        <f t="shared" si="2"/>
        <v>48126570</v>
      </c>
      <c r="J11" s="604">
        <f t="shared" si="2"/>
        <v>67783943.659999996</v>
      </c>
      <c r="K11" s="604">
        <f t="shared" si="2"/>
        <v>19657343.66</v>
      </c>
      <c r="L11" s="604">
        <f t="shared" si="2"/>
        <v>48126600</v>
      </c>
    </row>
    <row r="12" spans="1:12" ht="78.75" customHeight="1" x14ac:dyDescent="0.2">
      <c r="A12" s="1216" t="s">
        <v>22</v>
      </c>
      <c r="B12" s="42" t="s">
        <v>397</v>
      </c>
      <c r="C12" s="42" t="s">
        <v>23</v>
      </c>
      <c r="D12" s="601">
        <f>E12+F12</f>
        <v>150839436.62</v>
      </c>
      <c r="E12" s="602">
        <v>43743436.619999997</v>
      </c>
      <c r="F12" s="602">
        <v>107096000</v>
      </c>
      <c r="G12" s="601">
        <f>H12+I12</f>
        <v>151221408.44999999</v>
      </c>
      <c r="H12" s="602">
        <v>43854208.450000003</v>
      </c>
      <c r="I12" s="602">
        <v>107367200</v>
      </c>
      <c r="J12" s="601">
        <f>K12+L12</f>
        <v>151221408.44999999</v>
      </c>
      <c r="K12" s="602">
        <v>43854208.450000003</v>
      </c>
      <c r="L12" s="602">
        <v>107367200</v>
      </c>
    </row>
    <row r="13" spans="1:12" ht="69.75" customHeight="1" x14ac:dyDescent="0.2">
      <c r="A13" s="1216"/>
      <c r="B13" s="42" t="s">
        <v>398</v>
      </c>
      <c r="C13" s="42" t="s">
        <v>23</v>
      </c>
      <c r="D13" s="601">
        <f>E13+F13</f>
        <v>20160000</v>
      </c>
      <c r="E13" s="602">
        <v>5846400</v>
      </c>
      <c r="F13" s="602">
        <v>14313600</v>
      </c>
      <c r="G13" s="601">
        <f>H13+I13</f>
        <v>20160000</v>
      </c>
      <c r="H13" s="602">
        <v>5846400</v>
      </c>
      <c r="I13" s="602">
        <v>14313600</v>
      </c>
      <c r="J13" s="601">
        <f>K13+L13</f>
        <v>20160000</v>
      </c>
      <c r="K13" s="602">
        <v>5846400</v>
      </c>
      <c r="L13" s="602">
        <v>14313600</v>
      </c>
    </row>
    <row r="14" spans="1:12" s="600" customFormat="1" x14ac:dyDescent="0.2">
      <c r="A14" s="1216"/>
      <c r="B14" s="603" t="s">
        <v>289</v>
      </c>
      <c r="C14" s="603"/>
      <c r="D14" s="604">
        <f>D13+D12</f>
        <v>170999436.62</v>
      </c>
      <c r="E14" s="604">
        <f t="shared" ref="E14:L14" si="3">E13+E12</f>
        <v>49589836.619999997</v>
      </c>
      <c r="F14" s="604">
        <f t="shared" si="3"/>
        <v>121409600</v>
      </c>
      <c r="G14" s="604">
        <f t="shared" si="3"/>
        <v>171381408.44999999</v>
      </c>
      <c r="H14" s="604">
        <f t="shared" si="3"/>
        <v>49700608.450000003</v>
      </c>
      <c r="I14" s="604">
        <f t="shared" si="3"/>
        <v>121680800</v>
      </c>
      <c r="J14" s="604">
        <f>J13+J12</f>
        <v>171381408.44999999</v>
      </c>
      <c r="K14" s="604">
        <f t="shared" si="3"/>
        <v>49700608.450000003</v>
      </c>
      <c r="L14" s="604">
        <f t="shared" si="3"/>
        <v>121680800</v>
      </c>
    </row>
    <row r="15" spans="1:12" ht="97.5" customHeight="1" x14ac:dyDescent="0.2">
      <c r="A15" s="1216" t="s">
        <v>24</v>
      </c>
      <c r="B15" s="42" t="s">
        <v>399</v>
      </c>
      <c r="C15" s="42" t="s">
        <v>25</v>
      </c>
      <c r="D15" s="601">
        <f>E15+F15</f>
        <v>7101500</v>
      </c>
      <c r="E15" s="602">
        <v>2059435</v>
      </c>
      <c r="F15" s="602">
        <v>5042065</v>
      </c>
      <c r="G15" s="601">
        <f>H15+I15</f>
        <v>7207300</v>
      </c>
      <c r="H15" s="602">
        <v>2090117</v>
      </c>
      <c r="I15" s="602">
        <v>5117183</v>
      </c>
      <c r="J15" s="601">
        <f>K15+L15</f>
        <v>7101500</v>
      </c>
      <c r="K15" s="602">
        <v>2059435</v>
      </c>
      <c r="L15" s="602">
        <v>5042065</v>
      </c>
    </row>
    <row r="16" spans="1:12" ht="94.5" customHeight="1" x14ac:dyDescent="0.2">
      <c r="A16" s="1216"/>
      <c r="B16" s="42" t="s">
        <v>400</v>
      </c>
      <c r="C16" s="42" t="s">
        <v>25</v>
      </c>
      <c r="D16" s="601">
        <f>E16+F16</f>
        <v>2618000</v>
      </c>
      <c r="E16" s="602">
        <v>759220</v>
      </c>
      <c r="F16" s="602">
        <v>1858780</v>
      </c>
      <c r="G16" s="601">
        <f>H16+I16</f>
        <v>2772000</v>
      </c>
      <c r="H16" s="602">
        <v>803880</v>
      </c>
      <c r="I16" s="602">
        <v>1968120</v>
      </c>
      <c r="J16" s="601">
        <f>K16+L16</f>
        <v>2618000</v>
      </c>
      <c r="K16" s="602">
        <v>759220</v>
      </c>
      <c r="L16" s="602">
        <v>1858780</v>
      </c>
    </row>
    <row r="17" spans="1:12" ht="157.5" x14ac:dyDescent="0.2">
      <c r="A17" s="1216"/>
      <c r="B17" s="42" t="s">
        <v>401</v>
      </c>
      <c r="C17" s="42" t="s">
        <v>25</v>
      </c>
      <c r="D17" s="601">
        <f>E17+F17</f>
        <v>205638323.63999999</v>
      </c>
      <c r="E17" s="602">
        <v>59635113.859999999</v>
      </c>
      <c r="F17" s="602">
        <v>146003209.78</v>
      </c>
      <c r="G17" s="601">
        <f>H17+I17</f>
        <v>212270319.72119999</v>
      </c>
      <c r="H17" s="602">
        <v>61558392.719999999</v>
      </c>
      <c r="I17" s="602">
        <v>150711927.00119999</v>
      </c>
      <c r="J17" s="218">
        <f>K17+L17</f>
        <v>211936133.79799998</v>
      </c>
      <c r="K17" s="164">
        <v>61461478.799999997</v>
      </c>
      <c r="L17" s="164">
        <v>150474654.998</v>
      </c>
    </row>
    <row r="18" spans="1:12" s="600" customFormat="1" x14ac:dyDescent="0.2">
      <c r="A18" s="1216"/>
      <c r="B18" s="603" t="s">
        <v>289</v>
      </c>
      <c r="C18" s="603"/>
      <c r="D18" s="604">
        <f>D17+D16+D15</f>
        <v>215357823.63999999</v>
      </c>
      <c r="E18" s="604">
        <f t="shared" ref="E18:L18" si="4">E17+E16+E15</f>
        <v>62453768.859999999</v>
      </c>
      <c r="F18" s="604">
        <f t="shared" si="4"/>
        <v>152904054.78</v>
      </c>
      <c r="G18" s="604">
        <f t="shared" si="4"/>
        <v>222249619.72119999</v>
      </c>
      <c r="H18" s="604">
        <f>H17+H16+H15</f>
        <v>64452389.719999999</v>
      </c>
      <c r="I18" s="604">
        <f t="shared" si="4"/>
        <v>157797230.00119999</v>
      </c>
      <c r="J18" s="604">
        <f t="shared" si="4"/>
        <v>221655633.79799998</v>
      </c>
      <c r="K18" s="604">
        <f t="shared" si="4"/>
        <v>64280133.799999997</v>
      </c>
      <c r="L18" s="604">
        <f t="shared" si="4"/>
        <v>157375499.998</v>
      </c>
    </row>
    <row r="19" spans="1:12" ht="67.5" customHeight="1" x14ac:dyDescent="0.2">
      <c r="A19" s="1216" t="s">
        <v>405</v>
      </c>
      <c r="B19" s="42" t="s">
        <v>402</v>
      </c>
      <c r="C19" s="42" t="s">
        <v>26</v>
      </c>
      <c r="D19" s="601">
        <f>E19+F19</f>
        <v>36337746.480000004</v>
      </c>
      <c r="E19" s="602">
        <v>10537946.48</v>
      </c>
      <c r="F19" s="602">
        <v>25799800</v>
      </c>
      <c r="G19" s="601">
        <f>H19+I19</f>
        <v>35205007.039999999</v>
      </c>
      <c r="H19" s="602">
        <v>10209452.039999999</v>
      </c>
      <c r="I19" s="602">
        <v>24995555</v>
      </c>
      <c r="J19" s="601">
        <f>K19+L19</f>
        <v>34307938</v>
      </c>
      <c r="K19" s="602">
        <v>9949302.0199999996</v>
      </c>
      <c r="L19" s="602">
        <v>24358635.98</v>
      </c>
    </row>
    <row r="20" spans="1:12" ht="63" x14ac:dyDescent="0.2">
      <c r="A20" s="1216"/>
      <c r="B20" s="42" t="s">
        <v>403</v>
      </c>
      <c r="C20" s="42" t="s">
        <v>26</v>
      </c>
      <c r="D20" s="218">
        <f>E20+F20</f>
        <v>39907901.409999996</v>
      </c>
      <c r="E20" s="164">
        <v>11573291.41</v>
      </c>
      <c r="F20" s="164">
        <v>28334610</v>
      </c>
      <c r="G20" s="218">
        <f>H20+I20</f>
        <v>38755133.799999997</v>
      </c>
      <c r="H20" s="164">
        <v>11238988.800000001</v>
      </c>
      <c r="I20" s="164">
        <v>27516145</v>
      </c>
      <c r="J20" s="218">
        <f>K20+L20</f>
        <v>37767554.960000001</v>
      </c>
      <c r="K20" s="164">
        <v>10952590.939999999</v>
      </c>
      <c r="L20" s="164">
        <f>26814964.02</f>
        <v>26814964.02</v>
      </c>
    </row>
    <row r="21" spans="1:12" s="600" customFormat="1" x14ac:dyDescent="0.2">
      <c r="A21" s="1216"/>
      <c r="B21" s="603" t="s">
        <v>289</v>
      </c>
      <c r="C21" s="603"/>
      <c r="D21" s="604">
        <f>D20+D19</f>
        <v>76245647.890000001</v>
      </c>
      <c r="E21" s="604">
        <f t="shared" ref="E21:L21" si="5">E20+E19</f>
        <v>22111237.890000001</v>
      </c>
      <c r="F21" s="604">
        <f t="shared" si="5"/>
        <v>54134410</v>
      </c>
      <c r="G21" s="604">
        <f t="shared" si="5"/>
        <v>73960140.840000004</v>
      </c>
      <c r="H21" s="604">
        <f t="shared" si="5"/>
        <v>21448440.84</v>
      </c>
      <c r="I21" s="604">
        <f t="shared" si="5"/>
        <v>52511700</v>
      </c>
      <c r="J21" s="604">
        <f t="shared" si="5"/>
        <v>72075492.960000008</v>
      </c>
      <c r="K21" s="604">
        <f t="shared" si="5"/>
        <v>20901892.960000001</v>
      </c>
      <c r="L21" s="604">
        <f t="shared" si="5"/>
        <v>51173600</v>
      </c>
    </row>
    <row r="22" spans="1:12" ht="78.75" x14ac:dyDescent="0.2">
      <c r="A22" s="1216" t="s">
        <v>27</v>
      </c>
      <c r="B22" s="42" t="s">
        <v>404</v>
      </c>
      <c r="C22" s="42" t="s">
        <v>28</v>
      </c>
      <c r="D22" s="601">
        <f>E22+F22</f>
        <v>32881549.300000001</v>
      </c>
      <c r="E22" s="602">
        <v>9535649.3000000007</v>
      </c>
      <c r="F22" s="602">
        <v>23345900</v>
      </c>
      <c r="G22" s="601">
        <f>H22+I22</f>
        <v>32881549.300000001</v>
      </c>
      <c r="H22" s="602">
        <v>9535649.3000000007</v>
      </c>
      <c r="I22" s="602">
        <v>23345900</v>
      </c>
      <c r="J22" s="601">
        <f>K22+L22</f>
        <v>32881549.300000001</v>
      </c>
      <c r="K22" s="602">
        <v>9535649.3000000007</v>
      </c>
      <c r="L22" s="602">
        <v>23345900</v>
      </c>
    </row>
    <row r="23" spans="1:12" s="600" customFormat="1" ht="21.75" customHeight="1" x14ac:dyDescent="0.2">
      <c r="A23" s="1216"/>
      <c r="B23" s="603" t="s">
        <v>289</v>
      </c>
      <c r="C23" s="603"/>
      <c r="D23" s="604">
        <f>D22</f>
        <v>32881549.300000001</v>
      </c>
      <c r="E23" s="604">
        <f t="shared" ref="E23:L23" si="6">E22</f>
        <v>9535649.3000000007</v>
      </c>
      <c r="F23" s="604">
        <f t="shared" si="6"/>
        <v>23345900</v>
      </c>
      <c r="G23" s="604">
        <f t="shared" si="6"/>
        <v>32881549.300000001</v>
      </c>
      <c r="H23" s="604">
        <f t="shared" si="6"/>
        <v>9535649.3000000007</v>
      </c>
      <c r="I23" s="604">
        <f t="shared" si="6"/>
        <v>23345900</v>
      </c>
      <c r="J23" s="604">
        <f t="shared" si="6"/>
        <v>32881549.300000001</v>
      </c>
      <c r="K23" s="604">
        <f t="shared" si="6"/>
        <v>9535649.3000000007</v>
      </c>
      <c r="L23" s="604">
        <f t="shared" si="6"/>
        <v>23345900</v>
      </c>
    </row>
    <row r="24" spans="1:12" ht="9.75" customHeight="1" x14ac:dyDescent="0.2">
      <c r="A24" s="594"/>
      <c r="B24" s="605"/>
      <c r="C24" s="606"/>
      <c r="D24" s="607"/>
      <c r="E24" s="607"/>
      <c r="F24" s="607"/>
      <c r="G24" s="607"/>
      <c r="H24" s="607"/>
      <c r="I24" s="607"/>
      <c r="J24" s="607"/>
      <c r="K24" s="607"/>
      <c r="L24" s="607"/>
    </row>
    <row r="25" spans="1:12" s="610" customFormat="1" ht="62.25" customHeight="1" x14ac:dyDescent="0.2">
      <c r="A25" s="1220" t="s">
        <v>29</v>
      </c>
      <c r="B25" s="1220"/>
      <c r="C25" s="608"/>
      <c r="D25" s="609">
        <f t="shared" ref="D25:L25" si="7">SUMIF($B$26:$B$36,"Итого",D26:D36)</f>
        <v>366531267.59999996</v>
      </c>
      <c r="E25" s="609">
        <f t="shared" si="7"/>
        <v>106294067.59999999</v>
      </c>
      <c r="F25" s="609">
        <f t="shared" si="7"/>
        <v>260237200</v>
      </c>
      <c r="G25" s="609">
        <f t="shared" si="7"/>
        <v>368609014.07999998</v>
      </c>
      <c r="H25" s="609">
        <f t="shared" si="7"/>
        <v>106896614.07999998</v>
      </c>
      <c r="I25" s="609">
        <f t="shared" si="7"/>
        <v>261712400</v>
      </c>
      <c r="J25" s="609">
        <f t="shared" si="7"/>
        <v>367103380.27999997</v>
      </c>
      <c r="K25" s="609">
        <f t="shared" si="7"/>
        <v>106459980.27999999</v>
      </c>
      <c r="L25" s="609">
        <f t="shared" si="7"/>
        <v>260643400</v>
      </c>
    </row>
    <row r="26" spans="1:12" ht="134.25" customHeight="1" x14ac:dyDescent="0.2">
      <c r="A26" s="1216" t="s">
        <v>93</v>
      </c>
      <c r="B26" s="125" t="s">
        <v>431</v>
      </c>
      <c r="C26" s="42" t="s">
        <v>32</v>
      </c>
      <c r="D26" s="601">
        <f>E26+F26</f>
        <v>205338169.00999999</v>
      </c>
      <c r="E26" s="602">
        <v>59548069.009999998</v>
      </c>
      <c r="F26" s="602">
        <v>145790100</v>
      </c>
      <c r="G26" s="601">
        <f t="shared" ref="G26:G32" si="8">H26+I26</f>
        <v>207269706.07999998</v>
      </c>
      <c r="H26" s="602">
        <v>60108214.759999998</v>
      </c>
      <c r="I26" s="602">
        <v>147161491.31999999</v>
      </c>
      <c r="J26" s="601">
        <f t="shared" ref="J26:J32" si="9">K26+L26</f>
        <v>205312360.28</v>
      </c>
      <c r="K26" s="602">
        <v>59540584.479999997</v>
      </c>
      <c r="L26" s="602">
        <v>145771775.80000001</v>
      </c>
    </row>
    <row r="27" spans="1:12" s="610" customFormat="1" x14ac:dyDescent="0.2">
      <c r="A27" s="1216"/>
      <c r="B27" s="611" t="s">
        <v>289</v>
      </c>
      <c r="C27" s="611"/>
      <c r="D27" s="612">
        <f>D26</f>
        <v>205338169.00999999</v>
      </c>
      <c r="E27" s="612">
        <f t="shared" ref="E27:L27" si="10">E26</f>
        <v>59548069.009999998</v>
      </c>
      <c r="F27" s="612">
        <f t="shared" si="10"/>
        <v>145790100</v>
      </c>
      <c r="G27" s="612">
        <f t="shared" si="10"/>
        <v>207269706.07999998</v>
      </c>
      <c r="H27" s="612">
        <f t="shared" si="10"/>
        <v>60108214.759999998</v>
      </c>
      <c r="I27" s="612">
        <f t="shared" si="10"/>
        <v>147161491.31999999</v>
      </c>
      <c r="J27" s="612">
        <f t="shared" si="10"/>
        <v>205312360.28</v>
      </c>
      <c r="K27" s="612">
        <f t="shared" si="10"/>
        <v>59540584.479999997</v>
      </c>
      <c r="L27" s="612">
        <f t="shared" si="10"/>
        <v>145771775.80000001</v>
      </c>
    </row>
    <row r="28" spans="1:12" ht="181.5" customHeight="1" x14ac:dyDescent="0.2">
      <c r="A28" s="1216" t="s">
        <v>432</v>
      </c>
      <c r="B28" s="125" t="s">
        <v>433</v>
      </c>
      <c r="C28" s="42" t="s">
        <v>434</v>
      </c>
      <c r="D28" s="601">
        <v>90000000</v>
      </c>
      <c r="E28" s="602">
        <v>26100000</v>
      </c>
      <c r="F28" s="602">
        <v>63900000</v>
      </c>
      <c r="G28" s="601">
        <v>90000000</v>
      </c>
      <c r="H28" s="602">
        <v>26100000</v>
      </c>
      <c r="I28" s="602">
        <v>63900000</v>
      </c>
      <c r="J28" s="601">
        <v>90000000</v>
      </c>
      <c r="K28" s="602">
        <v>26100000</v>
      </c>
      <c r="L28" s="602">
        <v>63900000</v>
      </c>
    </row>
    <row r="29" spans="1:12" s="610" customFormat="1" ht="16.5" customHeight="1" x14ac:dyDescent="0.2">
      <c r="A29" s="1216"/>
      <c r="B29" s="611" t="s">
        <v>289</v>
      </c>
      <c r="C29" s="611"/>
      <c r="D29" s="612">
        <f>D28</f>
        <v>90000000</v>
      </c>
      <c r="E29" s="612">
        <f t="shared" ref="E29:L29" si="11">E28</f>
        <v>26100000</v>
      </c>
      <c r="F29" s="612">
        <f t="shared" si="11"/>
        <v>63900000</v>
      </c>
      <c r="G29" s="612">
        <f t="shared" si="11"/>
        <v>90000000</v>
      </c>
      <c r="H29" s="612">
        <f t="shared" si="11"/>
        <v>26100000</v>
      </c>
      <c r="I29" s="612">
        <f t="shared" si="11"/>
        <v>63900000</v>
      </c>
      <c r="J29" s="612">
        <f t="shared" si="11"/>
        <v>90000000</v>
      </c>
      <c r="K29" s="612">
        <f t="shared" si="11"/>
        <v>26100000</v>
      </c>
      <c r="L29" s="612">
        <f t="shared" si="11"/>
        <v>63900000</v>
      </c>
    </row>
    <row r="30" spans="1:12" ht="171.75" customHeight="1" x14ac:dyDescent="0.2">
      <c r="A30" s="1216" t="s">
        <v>35</v>
      </c>
      <c r="B30" s="125" t="s">
        <v>435</v>
      </c>
      <c r="C30" s="42" t="s">
        <v>436</v>
      </c>
      <c r="D30" s="601">
        <f>E30+F30</f>
        <v>70000000</v>
      </c>
      <c r="E30" s="602">
        <v>20300000</v>
      </c>
      <c r="F30" s="602">
        <v>49700000</v>
      </c>
      <c r="G30" s="601">
        <f t="shared" si="8"/>
        <v>70000000</v>
      </c>
      <c r="H30" s="602">
        <v>20300000</v>
      </c>
      <c r="I30" s="602">
        <v>49700000</v>
      </c>
      <c r="J30" s="601">
        <f t="shared" si="9"/>
        <v>70000000</v>
      </c>
      <c r="K30" s="602">
        <v>20300000</v>
      </c>
      <c r="L30" s="602">
        <v>49700000</v>
      </c>
    </row>
    <row r="31" spans="1:12" s="610" customFormat="1" ht="21.75" customHeight="1" x14ac:dyDescent="0.2">
      <c r="A31" s="1216"/>
      <c r="B31" s="611" t="s">
        <v>289</v>
      </c>
      <c r="C31" s="611"/>
      <c r="D31" s="612">
        <f>D30</f>
        <v>70000000</v>
      </c>
      <c r="E31" s="612">
        <f t="shared" ref="E31:L31" si="12">E30</f>
        <v>20300000</v>
      </c>
      <c r="F31" s="612">
        <f t="shared" si="12"/>
        <v>49700000</v>
      </c>
      <c r="G31" s="612">
        <f t="shared" si="12"/>
        <v>70000000</v>
      </c>
      <c r="H31" s="612">
        <f t="shared" si="12"/>
        <v>20300000</v>
      </c>
      <c r="I31" s="612">
        <f t="shared" si="12"/>
        <v>49700000</v>
      </c>
      <c r="J31" s="612">
        <f t="shared" si="12"/>
        <v>70000000</v>
      </c>
      <c r="K31" s="612">
        <f t="shared" si="12"/>
        <v>20300000</v>
      </c>
      <c r="L31" s="612">
        <f t="shared" si="12"/>
        <v>49700000</v>
      </c>
    </row>
    <row r="32" spans="1:12" s="616" customFormat="1" ht="78.75" hidden="1" x14ac:dyDescent="0.2">
      <c r="A32" s="1218" t="s">
        <v>390</v>
      </c>
      <c r="B32" s="613" t="s">
        <v>394</v>
      </c>
      <c r="C32" s="614"/>
      <c r="D32" s="114">
        <f>E32+F32</f>
        <v>0</v>
      </c>
      <c r="E32" s="615"/>
      <c r="F32" s="615"/>
      <c r="G32" s="114">
        <f t="shared" si="8"/>
        <v>0</v>
      </c>
      <c r="H32" s="615"/>
      <c r="I32" s="615"/>
      <c r="J32" s="114">
        <f t="shared" si="9"/>
        <v>0</v>
      </c>
      <c r="K32" s="615"/>
      <c r="L32" s="615"/>
    </row>
    <row r="33" spans="1:14" hidden="1" x14ac:dyDescent="0.2">
      <c r="A33" s="1218"/>
      <c r="B33" s="116" t="s">
        <v>289</v>
      </c>
      <c r="C33" s="617"/>
      <c r="D33" s="618">
        <f>D32</f>
        <v>0</v>
      </c>
      <c r="E33" s="618">
        <f t="shared" ref="E33:L33" si="13">E32</f>
        <v>0</v>
      </c>
      <c r="F33" s="618">
        <f t="shared" si="13"/>
        <v>0</v>
      </c>
      <c r="G33" s="618">
        <f t="shared" si="13"/>
        <v>0</v>
      </c>
      <c r="H33" s="618">
        <f t="shared" si="13"/>
        <v>0</v>
      </c>
      <c r="I33" s="618">
        <f t="shared" si="13"/>
        <v>0</v>
      </c>
      <c r="J33" s="618">
        <f t="shared" si="13"/>
        <v>0</v>
      </c>
      <c r="K33" s="618">
        <f t="shared" si="13"/>
        <v>0</v>
      </c>
      <c r="L33" s="618">
        <f t="shared" si="13"/>
        <v>0</v>
      </c>
    </row>
    <row r="34" spans="1:14" ht="78.75" x14ac:dyDescent="0.2">
      <c r="A34" s="1219" t="s">
        <v>437</v>
      </c>
      <c r="B34" s="125" t="s">
        <v>393</v>
      </c>
      <c r="C34" s="42" t="s">
        <v>413</v>
      </c>
      <c r="D34" s="601">
        <f>E34+F34</f>
        <v>1042500</v>
      </c>
      <c r="E34" s="602">
        <v>302325</v>
      </c>
      <c r="F34" s="602">
        <v>740175</v>
      </c>
      <c r="G34" s="601">
        <f>H34+I34</f>
        <v>1042500</v>
      </c>
      <c r="H34" s="602">
        <v>302325</v>
      </c>
      <c r="I34" s="602">
        <v>740175</v>
      </c>
      <c r="J34" s="601">
        <f>K34+L34</f>
        <v>1459500</v>
      </c>
      <c r="K34" s="602">
        <v>423255</v>
      </c>
      <c r="L34" s="602">
        <v>1036245</v>
      </c>
      <c r="M34" s="777">
        <f>1-M35</f>
        <v>0.28999999998908699</v>
      </c>
      <c r="N34" s="127"/>
    </row>
    <row r="35" spans="1:14" ht="130.5" customHeight="1" x14ac:dyDescent="0.2">
      <c r="A35" s="1219"/>
      <c r="B35" s="125" t="s">
        <v>438</v>
      </c>
      <c r="C35" s="42" t="s">
        <v>413</v>
      </c>
      <c r="D35" s="601">
        <f>E35+F35</f>
        <v>150598.59</v>
      </c>
      <c r="E35" s="602">
        <v>43673.59</v>
      </c>
      <c r="F35" s="602">
        <v>106925</v>
      </c>
      <c r="G35" s="601">
        <f>H35+I35</f>
        <v>296808</v>
      </c>
      <c r="H35" s="602">
        <v>86074.32</v>
      </c>
      <c r="I35" s="602">
        <v>210733.68</v>
      </c>
      <c r="J35" s="601">
        <f>K35+L35</f>
        <v>331520</v>
      </c>
      <c r="K35" s="602">
        <v>96140.800000000003</v>
      </c>
      <c r="L35" s="602">
        <v>235379.20000000001</v>
      </c>
      <c r="M35" s="777">
        <v>0.71000000001091301</v>
      </c>
      <c r="N35" s="127"/>
    </row>
    <row r="36" spans="1:14" s="610" customFormat="1" x14ac:dyDescent="0.2">
      <c r="A36" s="1219"/>
      <c r="B36" s="611" t="s">
        <v>289</v>
      </c>
      <c r="C36" s="611"/>
      <c r="D36" s="612">
        <f>D34+D35</f>
        <v>1193098.5900000001</v>
      </c>
      <c r="E36" s="612">
        <f t="shared" ref="E36:L36" si="14">E34+E35</f>
        <v>345998.58999999997</v>
      </c>
      <c r="F36" s="612">
        <f t="shared" si="14"/>
        <v>847100</v>
      </c>
      <c r="G36" s="612">
        <f t="shared" si="14"/>
        <v>1339308</v>
      </c>
      <c r="H36" s="612">
        <f t="shared" si="14"/>
        <v>388399.32</v>
      </c>
      <c r="I36" s="612">
        <f t="shared" si="14"/>
        <v>950908.67999999993</v>
      </c>
      <c r="J36" s="612">
        <f t="shared" si="14"/>
        <v>1791020</v>
      </c>
      <c r="K36" s="612">
        <f t="shared" si="14"/>
        <v>519395.8</v>
      </c>
      <c r="L36" s="612">
        <f t="shared" si="14"/>
        <v>1271624.2</v>
      </c>
    </row>
    <row r="38" spans="1:14" ht="16.5" thickBot="1" x14ac:dyDescent="0.25">
      <c r="D38" s="619"/>
      <c r="E38" s="620"/>
      <c r="F38" s="621"/>
    </row>
    <row r="39" spans="1:14" ht="16.5" thickBot="1" x14ac:dyDescent="0.25">
      <c r="D39" s="619"/>
      <c r="E39" s="620"/>
      <c r="F39" s="621"/>
    </row>
    <row r="40" spans="1:14" ht="16.5" thickBot="1" x14ac:dyDescent="0.25">
      <c r="D40" s="619"/>
      <c r="E40" s="619"/>
      <c r="F40" s="619"/>
      <c r="G40" s="619"/>
      <c r="H40" s="620"/>
      <c r="I40" s="621"/>
      <c r="J40" s="619"/>
      <c r="K40" s="620"/>
      <c r="L40" s="621"/>
    </row>
  </sheetData>
  <mergeCells count="19">
    <mergeCell ref="A30:A31"/>
    <mergeCell ref="A32:A33"/>
    <mergeCell ref="A34:A36"/>
    <mergeCell ref="A26:A27"/>
    <mergeCell ref="A25:B25"/>
    <mergeCell ref="C4:C5"/>
    <mergeCell ref="D4:F4"/>
    <mergeCell ref="G4:I4"/>
    <mergeCell ref="J4:L4"/>
    <mergeCell ref="A28:A29"/>
    <mergeCell ref="A4:A5"/>
    <mergeCell ref="B4:B5"/>
    <mergeCell ref="A8:A9"/>
    <mergeCell ref="A10:A11"/>
    <mergeCell ref="A12:A14"/>
    <mergeCell ref="A15:A18"/>
    <mergeCell ref="A19:A21"/>
    <mergeCell ref="A22:A23"/>
    <mergeCell ref="A7:B7"/>
  </mergeCells>
  <pageMargins left="0.31496062992125984" right="0.31496062992125984" top="0.35433070866141736" bottom="0.35433070866141736" header="0.31496062992125984" footer="0.31496062992125984"/>
  <pageSetup paperSize="9" scale="61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1"/>
  <sheetViews>
    <sheetView showZeros="0" view="pageBreakPreview" zoomScale="85" zoomScaleNormal="85" zoomScaleSheetLayoutView="85" workbookViewId="0">
      <pane xSplit="1" ySplit="5" topLeftCell="B22" activePane="bottomRight" state="frozen"/>
      <selection pane="topRight" activeCell="B1" sqref="B1"/>
      <selection pane="bottomLeft" activeCell="A6" sqref="A6"/>
      <selection pane="bottomRight" activeCell="F32" sqref="F32"/>
    </sheetView>
  </sheetViews>
  <sheetFormatPr defaultColWidth="9.140625" defaultRowHeight="15.75" x14ac:dyDescent="0.2"/>
  <cols>
    <col min="1" max="1" width="58.85546875" style="101" customWidth="1"/>
    <col min="2" max="2" width="14.42578125" style="101" customWidth="1"/>
    <col min="3" max="3" width="13.85546875" style="101" customWidth="1"/>
    <col min="4" max="4" width="14.140625" style="101" customWidth="1"/>
    <col min="5" max="6" width="13.85546875" style="101" customWidth="1"/>
    <col min="7" max="7" width="14.42578125" style="101" customWidth="1"/>
    <col min="8" max="8" width="13.85546875" style="101" customWidth="1"/>
    <col min="9" max="9" width="14.140625" style="101" hidden="1" customWidth="1"/>
    <col min="10" max="10" width="15" style="101" hidden="1" customWidth="1"/>
    <col min="11" max="11" width="15" style="101" customWidth="1"/>
    <col min="12" max="12" width="18.85546875" style="101" customWidth="1"/>
    <col min="13" max="13" width="12.28515625" style="101" customWidth="1"/>
    <col min="14" max="14" width="12.7109375" style="101" customWidth="1"/>
    <col min="15" max="15" width="14.42578125" style="101" customWidth="1"/>
    <col min="16" max="19" width="9.140625" style="800"/>
    <col min="20" max="20" width="13.5703125" style="101" customWidth="1"/>
    <col min="21" max="16384" width="9.140625" style="101"/>
  </cols>
  <sheetData>
    <row r="1" spans="1:20" ht="25.5" customHeight="1" x14ac:dyDescent="0.2">
      <c r="A1" s="1229" t="s">
        <v>600</v>
      </c>
      <c r="B1" s="1229"/>
      <c r="C1" s="1229"/>
      <c r="D1" s="1229"/>
      <c r="E1" s="1229"/>
      <c r="F1" s="1229"/>
      <c r="G1" s="1229"/>
      <c r="H1" s="1229"/>
      <c r="I1" s="1229"/>
      <c r="J1" s="1229"/>
      <c r="K1" s="799"/>
      <c r="L1" s="799"/>
      <c r="M1" s="799"/>
      <c r="N1" s="799"/>
      <c r="O1" s="799"/>
    </row>
    <row r="2" spans="1:20" hidden="1" x14ac:dyDescent="0.2"/>
    <row r="3" spans="1:20" ht="16.5" thickBot="1" x14ac:dyDescent="0.25">
      <c r="H3" s="101" t="s">
        <v>56</v>
      </c>
      <c r="J3" s="565" t="s">
        <v>56</v>
      </c>
      <c r="O3" s="565" t="s">
        <v>56</v>
      </c>
    </row>
    <row r="4" spans="1:20" s="12" customFormat="1" ht="17.25" customHeight="1" x14ac:dyDescent="0.2">
      <c r="A4" s="1223" t="s">
        <v>355</v>
      </c>
      <c r="B4" s="1224" t="s">
        <v>356</v>
      </c>
      <c r="C4" s="1225"/>
      <c r="D4" s="1225"/>
      <c r="E4" s="1225"/>
      <c r="F4" s="1225"/>
      <c r="G4" s="1225"/>
      <c r="H4" s="1225"/>
      <c r="I4" s="1225"/>
      <c r="J4" s="1225"/>
      <c r="K4" s="1226" t="s">
        <v>357</v>
      </c>
      <c r="L4" s="1227"/>
      <c r="M4" s="1227"/>
      <c r="N4" s="1227"/>
      <c r="O4" s="1228"/>
    </row>
    <row r="5" spans="1:20" s="12" customFormat="1" ht="51" customHeight="1" x14ac:dyDescent="0.2">
      <c r="A5" s="1223"/>
      <c r="B5" s="801" t="s">
        <v>358</v>
      </c>
      <c r="C5" s="802" t="s">
        <v>634</v>
      </c>
      <c r="D5" s="802" t="s">
        <v>635</v>
      </c>
      <c r="E5" s="802" t="s">
        <v>680</v>
      </c>
      <c r="F5" s="802" t="s">
        <v>681</v>
      </c>
      <c r="G5" s="802" t="s">
        <v>682</v>
      </c>
      <c r="H5" s="802" t="s">
        <v>584</v>
      </c>
      <c r="I5" s="802" t="s">
        <v>360</v>
      </c>
      <c r="J5" s="803" t="s">
        <v>361</v>
      </c>
      <c r="K5" s="801" t="s">
        <v>406</v>
      </c>
      <c r="L5" s="802" t="s">
        <v>59</v>
      </c>
      <c r="M5" s="802" t="s">
        <v>359</v>
      </c>
      <c r="N5" s="802" t="s">
        <v>360</v>
      </c>
      <c r="O5" s="802" t="s">
        <v>361</v>
      </c>
    </row>
    <row r="6" spans="1:20" s="808" customFormat="1" ht="12.75" x14ac:dyDescent="0.2">
      <c r="A6" s="804">
        <v>1</v>
      </c>
      <c r="B6" s="805">
        <v>2</v>
      </c>
      <c r="C6" s="806">
        <v>3</v>
      </c>
      <c r="D6" s="806">
        <v>4</v>
      </c>
      <c r="E6" s="806">
        <v>5</v>
      </c>
      <c r="F6" s="806">
        <v>6</v>
      </c>
      <c r="G6" s="806">
        <v>7</v>
      </c>
      <c r="H6" s="806">
        <v>8</v>
      </c>
      <c r="I6" s="806">
        <v>5</v>
      </c>
      <c r="J6" s="807">
        <v>6</v>
      </c>
      <c r="K6" s="805">
        <v>7</v>
      </c>
      <c r="L6" s="806">
        <v>8</v>
      </c>
      <c r="M6" s="804">
        <v>9</v>
      </c>
      <c r="N6" s="806">
        <v>10</v>
      </c>
      <c r="O6" s="806">
        <v>11</v>
      </c>
    </row>
    <row r="7" spans="1:20" s="12" customFormat="1" ht="28.5" customHeight="1" x14ac:dyDescent="0.2">
      <c r="A7" s="1230" t="s">
        <v>362</v>
      </c>
      <c r="B7" s="1231"/>
      <c r="C7" s="1231"/>
      <c r="D7" s="1231"/>
      <c r="E7" s="1231"/>
      <c r="F7" s="1231"/>
      <c r="G7" s="1231"/>
      <c r="H7" s="1231"/>
      <c r="I7" s="1231"/>
      <c r="J7" s="1231"/>
      <c r="K7" s="809"/>
      <c r="L7" s="809"/>
      <c r="M7" s="809"/>
      <c r="N7" s="827"/>
      <c r="O7" s="827"/>
    </row>
    <row r="8" spans="1:20" s="12" customFormat="1" ht="33" customHeight="1" x14ac:dyDescent="0.2">
      <c r="A8" s="844" t="s">
        <v>587</v>
      </c>
      <c r="B8" s="860">
        <f t="shared" ref="B8:G8" si="0">B9+B16</f>
        <v>770366.7</v>
      </c>
      <c r="C8" s="861">
        <f t="shared" si="0"/>
        <v>141190.35118999999</v>
      </c>
      <c r="D8" s="861">
        <f t="shared" si="0"/>
        <v>350407.76527000003</v>
      </c>
      <c r="E8" s="861">
        <f t="shared" si="0"/>
        <v>113840.29</v>
      </c>
      <c r="F8" s="861">
        <f t="shared" si="0"/>
        <v>0</v>
      </c>
      <c r="G8" s="861">
        <f t="shared" si="0"/>
        <v>130477.2</v>
      </c>
      <c r="H8" s="857">
        <f>(C8+D8+E8+F8+G8)/B8*100</f>
        <v>95.527961743413897</v>
      </c>
      <c r="I8" s="845"/>
      <c r="J8" s="841"/>
      <c r="K8" s="842"/>
      <c r="L8" s="842"/>
      <c r="M8" s="842"/>
      <c r="N8" s="843"/>
      <c r="O8" s="843"/>
    </row>
    <row r="9" spans="1:20" ht="33" customHeight="1" x14ac:dyDescent="0.2">
      <c r="A9" s="919" t="s">
        <v>363</v>
      </c>
      <c r="B9" s="920">
        <f t="shared" ref="B9:G9" si="1">SUM(B10:B15)</f>
        <v>510129.5</v>
      </c>
      <c r="C9" s="921">
        <f t="shared" si="1"/>
        <v>141190.35118999999</v>
      </c>
      <c r="D9" s="921">
        <f t="shared" si="1"/>
        <v>204617.66527000003</v>
      </c>
      <c r="E9" s="921">
        <f t="shared" si="1"/>
        <v>240.29</v>
      </c>
      <c r="F9" s="921">
        <f t="shared" si="1"/>
        <v>0</v>
      </c>
      <c r="G9" s="921">
        <f t="shared" si="1"/>
        <v>130477.2</v>
      </c>
      <c r="H9" s="921">
        <f>(C9+D9+E9+F9+G9)/B9*100</f>
        <v>93.412654327969662</v>
      </c>
      <c r="I9" s="830" t="e">
        <f>SUM(I10:I15)</f>
        <v>#REF!</v>
      </c>
      <c r="J9" s="831" t="e">
        <f t="shared" ref="J9:J21" si="2">I9/B9*100</f>
        <v>#REF!</v>
      </c>
      <c r="K9" s="829">
        <f>SUM(K10:K15)</f>
        <v>208362.75352999999</v>
      </c>
      <c r="L9" s="830">
        <f>SUM(L10:L15)</f>
        <v>186468.11605000001</v>
      </c>
      <c r="M9" s="832">
        <f>L9/K9*100</f>
        <v>89.492057909069828</v>
      </c>
      <c r="N9" s="830" t="e">
        <f>SUM(N10:N15)</f>
        <v>#REF!</v>
      </c>
      <c r="O9" s="830" t="e">
        <f>N9/K9*100</f>
        <v>#REF!</v>
      </c>
      <c r="T9" s="127"/>
    </row>
    <row r="10" spans="1:20" ht="16.5" customHeight="1" x14ac:dyDescent="0.2">
      <c r="A10" s="810" t="s">
        <v>278</v>
      </c>
      <c r="B10" s="858">
        <f>'КБ+ФБ по соглашению'!H10/1000</f>
        <v>110477.2</v>
      </c>
      <c r="C10" s="857"/>
      <c r="D10" s="857"/>
      <c r="E10" s="857"/>
      <c r="F10" s="627"/>
      <c r="G10" s="1006">
        <v>110477.2</v>
      </c>
      <c r="H10" s="857">
        <f>(C10+D10+E10+F10+G10)/B10*100</f>
        <v>100</v>
      </c>
      <c r="I10" s="602" t="e">
        <f>край!#REF!</f>
        <v>#REF!</v>
      </c>
      <c r="J10" s="812" t="e">
        <f t="shared" si="2"/>
        <v>#REF!</v>
      </c>
      <c r="K10" s="811">
        <f>'КБ+ФБ по соглашению'!H9/1000</f>
        <v>45124.490140000002</v>
      </c>
      <c r="L10" s="602">
        <f>('Бюдж роспись КБ'!K65+'Бюдж роспись КБ'!K66)/1000</f>
        <v>45124.489970000002</v>
      </c>
      <c r="M10" s="813">
        <f>L10/K10*100</f>
        <v>99.999999623264443</v>
      </c>
      <c r="N10" s="602" t="e">
        <f>край!#REF!</f>
        <v>#REF!</v>
      </c>
      <c r="O10" s="602" t="e">
        <f t="shared" ref="O10:O36" si="3">N10/K10*100</f>
        <v>#REF!</v>
      </c>
    </row>
    <row r="11" spans="1:20" ht="16.5" customHeight="1" x14ac:dyDescent="0.2">
      <c r="A11" s="810" t="s">
        <v>364</v>
      </c>
      <c r="B11" s="858">
        <f>'КБ+ФБ по соглашению'!H13/1000</f>
        <v>47858.335220000001</v>
      </c>
      <c r="C11" s="857"/>
      <c r="D11" s="857">
        <f>('Бюдж роспись КБ'!Z71+'Бюдж роспись КБ'!Z72)/1000</f>
        <v>47858.335220000008</v>
      </c>
      <c r="E11" s="857"/>
      <c r="F11" s="857"/>
      <c r="G11" s="857"/>
      <c r="H11" s="857">
        <f t="shared" ref="H11:H20" si="4">(C11+D11+E11+F11+G11)/B11*100</f>
        <v>100.00000000000003</v>
      </c>
      <c r="I11" s="602" t="e">
        <f>край!#REF!</f>
        <v>#REF!</v>
      </c>
      <c r="J11" s="812" t="e">
        <f t="shared" si="2"/>
        <v>#REF!</v>
      </c>
      <c r="K11" s="811">
        <f>'КБ+ФБ по соглашению'!H12/1000</f>
        <v>19547.77072</v>
      </c>
      <c r="L11" s="602">
        <f>край!P53</f>
        <v>19547.770720000004</v>
      </c>
      <c r="M11" s="813">
        <f t="shared" ref="M11:M20" si="5">L11/K11*100</f>
        <v>100.00000000000003</v>
      </c>
      <c r="N11" s="602" t="e">
        <f>край!#REF!</f>
        <v>#REF!</v>
      </c>
      <c r="O11" s="602" t="e">
        <f t="shared" si="3"/>
        <v>#REF!</v>
      </c>
    </row>
    <row r="12" spans="1:20" x14ac:dyDescent="0.2">
      <c r="A12" s="810" t="s">
        <v>365</v>
      </c>
      <c r="B12" s="858">
        <f>'КБ+ФБ по соглашению'!H16/1000</f>
        <v>121409.60000000001</v>
      </c>
      <c r="C12" s="857">
        <v>111894.14</v>
      </c>
      <c r="D12" s="857">
        <v>9515.4</v>
      </c>
      <c r="E12" s="857"/>
      <c r="F12" s="857"/>
      <c r="G12" s="857"/>
      <c r="H12" s="857">
        <f t="shared" si="4"/>
        <v>99.999950580514223</v>
      </c>
      <c r="I12" s="602" t="e">
        <f>край!#REF!</f>
        <v>#REF!</v>
      </c>
      <c r="J12" s="812" t="e">
        <f t="shared" si="2"/>
        <v>#REF!</v>
      </c>
      <c r="K12" s="811">
        <f>'КБ+ФБ по соглашению'!H15/1000</f>
        <v>49589.836619999995</v>
      </c>
      <c r="L12" s="602">
        <f>край!P56</f>
        <v>49589.812859999998</v>
      </c>
      <c r="M12" s="813">
        <f t="shared" si="5"/>
        <v>99.999952086956483</v>
      </c>
      <c r="N12" s="602" t="e">
        <f>край!#REF!</f>
        <v>#REF!</v>
      </c>
      <c r="O12" s="602" t="e">
        <f t="shared" si="3"/>
        <v>#REF!</v>
      </c>
    </row>
    <row r="13" spans="1:20" ht="16.5" customHeight="1" x14ac:dyDescent="0.2">
      <c r="A13" s="810" t="s">
        <v>281</v>
      </c>
      <c r="B13" s="858">
        <f>'КБ+ФБ по соглашению'!H19/1000</f>
        <v>152904.05478000001</v>
      </c>
      <c r="C13" s="857"/>
      <c r="D13" s="857">
        <f>('Бюдж роспись КБ'!Z77+'Бюдж роспись КБ'!Z78)/1000</f>
        <v>147243.93005000002</v>
      </c>
      <c r="E13" s="857"/>
      <c r="F13" s="857"/>
      <c r="G13" s="857"/>
      <c r="H13" s="857">
        <f t="shared" si="4"/>
        <v>96.298250731058872</v>
      </c>
      <c r="I13" s="602" t="e">
        <f>край!#REF!</f>
        <v>#REF!</v>
      </c>
      <c r="J13" s="812" t="e">
        <f t="shared" si="2"/>
        <v>#REF!</v>
      </c>
      <c r="K13" s="811">
        <f>'КБ+ФБ по соглашению'!H18/1000</f>
        <v>62453.768859999996</v>
      </c>
      <c r="L13" s="602">
        <f>край!P59</f>
        <v>60141.886929999993</v>
      </c>
      <c r="M13" s="813">
        <f t="shared" si="5"/>
        <v>96.298250734583448</v>
      </c>
      <c r="N13" s="602" t="e">
        <f>край!#REF!</f>
        <v>#REF!</v>
      </c>
      <c r="O13" s="602" t="e">
        <f t="shared" si="3"/>
        <v>#REF!</v>
      </c>
    </row>
    <row r="14" spans="1:20" x14ac:dyDescent="0.2">
      <c r="A14" s="810" t="s">
        <v>372</v>
      </c>
      <c r="B14" s="858">
        <f>'КБ+ФБ по соглашению'!H22/1000</f>
        <v>54134.41</v>
      </c>
      <c r="C14" s="857">
        <v>5950.3111900000004</v>
      </c>
      <c r="D14" s="857"/>
      <c r="E14" s="857">
        <v>240.29</v>
      </c>
      <c r="F14" s="857"/>
      <c r="G14" s="857">
        <v>20000</v>
      </c>
      <c r="H14" s="857">
        <f t="shared" si="4"/>
        <v>48.380690193169187</v>
      </c>
      <c r="I14" s="602" t="e">
        <f>край!#REF!</f>
        <v>#REF!</v>
      </c>
      <c r="J14" s="812" t="e">
        <f t="shared" si="2"/>
        <v>#REF!</v>
      </c>
      <c r="K14" s="811">
        <f>'КБ+ФБ по соглашению'!H21/1000</f>
        <v>22111.23789</v>
      </c>
      <c r="L14" s="602">
        <f>край!P62</f>
        <v>2528.55557</v>
      </c>
      <c r="M14" s="813">
        <f t="shared" si="5"/>
        <v>11.43561288870019</v>
      </c>
      <c r="N14" s="602" t="e">
        <f>край!#REF!</f>
        <v>#REF!</v>
      </c>
      <c r="O14" s="602" t="e">
        <f t="shared" si="3"/>
        <v>#REF!</v>
      </c>
    </row>
    <row r="15" spans="1:20" ht="16.5" customHeight="1" x14ac:dyDescent="0.2">
      <c r="A15" s="810" t="s">
        <v>366</v>
      </c>
      <c r="B15" s="858">
        <f>'КБ+ФБ по соглашению'!H25/1000</f>
        <v>23345.9</v>
      </c>
      <c r="C15" s="857">
        <v>23345.9</v>
      </c>
      <c r="D15" s="857"/>
      <c r="E15" s="857"/>
      <c r="F15" s="857"/>
      <c r="G15" s="857"/>
      <c r="H15" s="857">
        <f t="shared" si="4"/>
        <v>100</v>
      </c>
      <c r="I15" s="602"/>
      <c r="J15" s="812">
        <f t="shared" si="2"/>
        <v>0</v>
      </c>
      <c r="K15" s="811">
        <f>'КБ+ФБ по соглашению'!H24/1000</f>
        <v>9535.6493000000009</v>
      </c>
      <c r="L15" s="602">
        <v>9535.6</v>
      </c>
      <c r="M15" s="813">
        <f t="shared" si="5"/>
        <v>99.999482992731288</v>
      </c>
      <c r="N15" s="602"/>
      <c r="O15" s="602">
        <f t="shared" si="3"/>
        <v>0</v>
      </c>
    </row>
    <row r="16" spans="1:20" ht="36" customHeight="1" x14ac:dyDescent="0.2">
      <c r="A16" s="919" t="s">
        <v>367</v>
      </c>
      <c r="B16" s="922">
        <f>SUM(B17:B20)</f>
        <v>260237.2</v>
      </c>
      <c r="C16" s="921">
        <f>SUM(C17:C20)</f>
        <v>0</v>
      </c>
      <c r="D16" s="921">
        <f>SUM(D17:D20)</f>
        <v>145790.1</v>
      </c>
      <c r="E16" s="921">
        <f>SUM(E17:E20)</f>
        <v>113600</v>
      </c>
      <c r="F16" s="921">
        <f>SUM(F17:F20)</f>
        <v>0</v>
      </c>
      <c r="G16" s="921"/>
      <c r="H16" s="921">
        <f t="shared" ref="H16" si="6">(C16+D16+E16+F16)/B16*100</f>
        <v>99.674489273631892</v>
      </c>
      <c r="I16" s="830" t="e">
        <f>SUM(I17:I20)</f>
        <v>#REF!</v>
      </c>
      <c r="J16" s="831" t="e">
        <f t="shared" si="2"/>
        <v>#REF!</v>
      </c>
      <c r="K16" s="833">
        <f>SUM(K17:K20)</f>
        <v>106294.06760000001</v>
      </c>
      <c r="L16" s="830">
        <f>SUM(L17:L20)</f>
        <v>85648.013949999993</v>
      </c>
      <c r="M16" s="832">
        <f>L16/K16*100</f>
        <v>80.576476076074059</v>
      </c>
      <c r="N16" s="830" t="e">
        <f>SUM(N17:N20)</f>
        <v>#REF!</v>
      </c>
      <c r="O16" s="830" t="e">
        <f t="shared" si="3"/>
        <v>#REF!</v>
      </c>
      <c r="P16" s="834"/>
    </row>
    <row r="17" spans="1:15" s="105" customFormat="1" ht="18.75" customHeight="1" x14ac:dyDescent="0.2">
      <c r="A17" s="810" t="s">
        <v>368</v>
      </c>
      <c r="B17" s="859">
        <f>'КБ+ФБ по соглашению'!H31/1000</f>
        <v>145790.1</v>
      </c>
      <c r="C17" s="627"/>
      <c r="D17" s="627">
        <v>145790.1</v>
      </c>
      <c r="E17" s="627"/>
      <c r="F17" s="627"/>
      <c r="G17" s="1006"/>
      <c r="H17" s="857">
        <f t="shared" si="4"/>
        <v>100</v>
      </c>
      <c r="I17" s="164" t="e">
        <f>край!#REF!</f>
        <v>#REF!</v>
      </c>
      <c r="J17" s="812" t="e">
        <f t="shared" si="2"/>
        <v>#REF!</v>
      </c>
      <c r="K17" s="814">
        <f>'КБ+ФБ по соглашению'!H30/1000</f>
        <v>59548.069009999999</v>
      </c>
      <c r="L17" s="164">
        <f>край!P44</f>
        <v>59548.013949999993</v>
      </c>
      <c r="M17" s="813">
        <f t="shared" si="5"/>
        <v>99.999907536884209</v>
      </c>
      <c r="N17" s="164" t="e">
        <f>край!#REF!</f>
        <v>#REF!</v>
      </c>
      <c r="O17" s="602" t="e">
        <f t="shared" si="3"/>
        <v>#REF!</v>
      </c>
    </row>
    <row r="18" spans="1:15" s="105" customFormat="1" ht="17.25" customHeight="1" x14ac:dyDescent="0.2">
      <c r="A18" s="810" t="s">
        <v>369</v>
      </c>
      <c r="B18" s="859">
        <f>'КБ+ФБ по соглашению'!H34/1000</f>
        <v>63900</v>
      </c>
      <c r="C18" s="627"/>
      <c r="D18" s="627"/>
      <c r="E18" s="627">
        <v>63900</v>
      </c>
      <c r="F18" s="627"/>
      <c r="G18" s="1006"/>
      <c r="H18" s="857">
        <f t="shared" si="4"/>
        <v>100</v>
      </c>
      <c r="I18" s="164" t="e">
        <f>край!#REF!</f>
        <v>#REF!</v>
      </c>
      <c r="J18" s="812" t="e">
        <f t="shared" si="2"/>
        <v>#REF!</v>
      </c>
      <c r="K18" s="814">
        <f>'КБ+ФБ по соглашению'!H33/1000</f>
        <v>26100</v>
      </c>
      <c r="L18" s="164">
        <f>край!P82</f>
        <v>26100</v>
      </c>
      <c r="M18" s="813">
        <f t="shared" si="5"/>
        <v>100</v>
      </c>
      <c r="N18" s="164" t="e">
        <f>край!#REF!</f>
        <v>#REF!</v>
      </c>
      <c r="O18" s="602" t="e">
        <f t="shared" si="3"/>
        <v>#REF!</v>
      </c>
    </row>
    <row r="19" spans="1:15" s="105" customFormat="1" ht="17.25" customHeight="1" x14ac:dyDescent="0.2">
      <c r="A19" s="810" t="s">
        <v>285</v>
      </c>
      <c r="B19" s="859">
        <f>'КБ+ФБ по соглашению'!H37/1000</f>
        <v>49700</v>
      </c>
      <c r="C19" s="627"/>
      <c r="D19" s="627"/>
      <c r="E19" s="627">
        <v>49700</v>
      </c>
      <c r="F19" s="627"/>
      <c r="G19" s="1006"/>
      <c r="H19" s="857">
        <f t="shared" si="4"/>
        <v>100</v>
      </c>
      <c r="I19" s="164" t="e">
        <f>край!#REF!</f>
        <v>#REF!</v>
      </c>
      <c r="J19" s="812" t="e">
        <f t="shared" si="2"/>
        <v>#REF!</v>
      </c>
      <c r="K19" s="814">
        <f>'КБ+ФБ по соглашению'!H36/1000</f>
        <v>20300</v>
      </c>
      <c r="L19" s="164">
        <f>край!P87</f>
        <v>0</v>
      </c>
      <c r="M19" s="813">
        <f t="shared" si="5"/>
        <v>0</v>
      </c>
      <c r="N19" s="164" t="e">
        <f>край!#REF!</f>
        <v>#REF!</v>
      </c>
      <c r="O19" s="602" t="e">
        <f t="shared" si="3"/>
        <v>#REF!</v>
      </c>
    </row>
    <row r="20" spans="1:15" s="105" customFormat="1" x14ac:dyDescent="0.2">
      <c r="A20" s="810" t="s">
        <v>485</v>
      </c>
      <c r="B20" s="859">
        <f>'КБ+ФБ по соглашению'!H40/1000</f>
        <v>847.1</v>
      </c>
      <c r="C20" s="627"/>
      <c r="D20" s="627"/>
      <c r="E20" s="627"/>
      <c r="F20" s="627"/>
      <c r="G20" s="1006"/>
      <c r="H20" s="857">
        <f t="shared" si="4"/>
        <v>0</v>
      </c>
      <c r="I20" s="164"/>
      <c r="J20" s="812">
        <f t="shared" si="2"/>
        <v>0</v>
      </c>
      <c r="K20" s="814">
        <f>'КБ+ФБ по соглашению'!H39/1000</f>
        <v>345.99859000000004</v>
      </c>
      <c r="L20" s="164"/>
      <c r="M20" s="602">
        <f t="shared" si="5"/>
        <v>0</v>
      </c>
      <c r="N20" s="164"/>
      <c r="O20" s="602">
        <f t="shared" si="3"/>
        <v>0</v>
      </c>
    </row>
    <row r="21" spans="1:15" s="105" customFormat="1" ht="53.25" hidden="1" customHeight="1" x14ac:dyDescent="0.2">
      <c r="A21" s="828" t="s">
        <v>46</v>
      </c>
      <c r="B21" s="851">
        <f>'КБ+ФБ по соглашению'!H46/1000</f>
        <v>0</v>
      </c>
      <c r="C21" s="853">
        <f>край!P66</f>
        <v>0</v>
      </c>
      <c r="D21" s="853"/>
      <c r="E21" s="853"/>
      <c r="F21" s="853"/>
      <c r="G21" s="853"/>
      <c r="H21" s="853" t="e">
        <f>C21/B21*100</f>
        <v>#DIV/0!</v>
      </c>
      <c r="I21" s="830" t="e">
        <f>край!#REF!</f>
        <v>#REF!</v>
      </c>
      <c r="J21" s="831" t="e">
        <f t="shared" si="2"/>
        <v>#REF!</v>
      </c>
      <c r="K21" s="829">
        <f>'КБ+ФБ по соглашению'!H45/1000</f>
        <v>0</v>
      </c>
      <c r="L21" s="830">
        <f>край!P65</f>
        <v>0</v>
      </c>
      <c r="M21" s="830" t="e">
        <f>L21/K21*100</f>
        <v>#DIV/0!</v>
      </c>
      <c r="N21" s="830" t="e">
        <f>край!#REF!</f>
        <v>#REF!</v>
      </c>
      <c r="O21" s="830" t="e">
        <f t="shared" si="3"/>
        <v>#REF!</v>
      </c>
    </row>
    <row r="22" spans="1:15" s="105" customFormat="1" ht="32.25" customHeight="1" x14ac:dyDescent="0.2">
      <c r="A22" s="919" t="s">
        <v>388</v>
      </c>
      <c r="B22" s="922">
        <f>'КБ+ФБ по соглашению'!H43/1000</f>
        <v>178810</v>
      </c>
      <c r="C22" s="921"/>
      <c r="D22" s="921">
        <v>109978.58</v>
      </c>
      <c r="E22" s="921">
        <v>68831.41</v>
      </c>
      <c r="F22" s="921"/>
      <c r="G22" s="921"/>
      <c r="H22" s="921">
        <f>(C22+D22+E22+F22)/B22*100</f>
        <v>99.999994407471618</v>
      </c>
      <c r="I22" s="830"/>
      <c r="J22" s="831"/>
      <c r="K22" s="829">
        <f>'КБ+ФБ по соглашению'!H42/1000</f>
        <v>1806.19697</v>
      </c>
      <c r="L22" s="830"/>
      <c r="M22" s="830"/>
      <c r="N22" s="830"/>
      <c r="O22" s="830"/>
    </row>
    <row r="23" spans="1:15" s="105" customFormat="1" ht="47.25" x14ac:dyDescent="0.2">
      <c r="A23" s="919" t="s">
        <v>638</v>
      </c>
      <c r="B23" s="922">
        <f>'КБ+ФБ по соглашению'!H49/1000</f>
        <v>54335.1</v>
      </c>
      <c r="C23" s="921"/>
      <c r="D23" s="921"/>
      <c r="E23" s="921"/>
      <c r="F23" s="921"/>
      <c r="G23" s="921">
        <v>6000</v>
      </c>
      <c r="H23" s="921">
        <f>(C23+D23+E23+F23+G23)/B23*100</f>
        <v>11.042585731874976</v>
      </c>
      <c r="I23" s="830"/>
      <c r="J23" s="831"/>
      <c r="K23" s="829"/>
      <c r="L23" s="830"/>
      <c r="M23" s="830"/>
      <c r="N23" s="830"/>
      <c r="O23" s="830"/>
    </row>
    <row r="24" spans="1:15" s="105" customFormat="1" ht="33.75" customHeight="1" x14ac:dyDescent="0.2">
      <c r="A24" s="919" t="s">
        <v>37</v>
      </c>
      <c r="B24" s="922">
        <f>'КБ+ФБ по соглашению'!H52/1000</f>
        <v>10518.5</v>
      </c>
      <c r="C24" s="921">
        <f>('Бюдж роспись КБ'!V138+'Бюдж роспись КБ'!V139)/1000</f>
        <v>9531.8824100000002</v>
      </c>
      <c r="D24" s="921">
        <f>('Бюдж роспись КБ'!Z138+'Бюдж роспись КБ'!Z139)/1000</f>
        <v>533.93105000000003</v>
      </c>
      <c r="E24" s="921">
        <v>152.495</v>
      </c>
      <c r="F24" s="921">
        <v>127.78700000000001</v>
      </c>
      <c r="G24" s="921">
        <v>120.94</v>
      </c>
      <c r="H24" s="921">
        <f>(C24+D24+E24+F24+G24)/B24*100</f>
        <v>99.510723582259843</v>
      </c>
      <c r="I24" s="830" t="e">
        <f>край!#REF!</f>
        <v>#REF!</v>
      </c>
      <c r="J24" s="831" t="e">
        <f>I24/B24*100</f>
        <v>#REF!</v>
      </c>
      <c r="K24" s="829">
        <f>'КБ+ФБ по соглашению'!H51/1000</f>
        <v>2467.3024700000001</v>
      </c>
      <c r="L24" s="830">
        <f>край!P109</f>
        <v>2426.8620799999999</v>
      </c>
      <c r="M24" s="830">
        <f>L24/K24*100</f>
        <v>98.360947208876254</v>
      </c>
      <c r="N24" s="830" t="e">
        <f>край!#REF!</f>
        <v>#REF!</v>
      </c>
      <c r="O24" s="830" t="e">
        <f>N24/K24*100</f>
        <v>#REF!</v>
      </c>
    </row>
    <row r="25" spans="1:15" s="105" customFormat="1" ht="66.75" customHeight="1" x14ac:dyDescent="0.2">
      <c r="A25" s="919" t="s">
        <v>479</v>
      </c>
      <c r="B25" s="922">
        <f>SUM(B26:B27)</f>
        <v>26801.8</v>
      </c>
      <c r="C25" s="921">
        <f>SUM(C26:C27)</f>
        <v>0</v>
      </c>
      <c r="D25" s="921"/>
      <c r="E25" s="921"/>
      <c r="F25" s="921"/>
      <c r="G25" s="921"/>
      <c r="H25" s="921">
        <f>C25/B25*100</f>
        <v>0</v>
      </c>
      <c r="I25" s="830">
        <f>SUM(I26:I27)</f>
        <v>0</v>
      </c>
      <c r="J25" s="831">
        <f>I25/B25*100</f>
        <v>0</v>
      </c>
      <c r="K25" s="833">
        <f>SUM(K26:K27)</f>
        <v>10947.2</v>
      </c>
      <c r="L25" s="830">
        <f>SUM(L26:L27)</f>
        <v>0</v>
      </c>
      <c r="M25" s="830">
        <f>L25/K25*100</f>
        <v>0</v>
      </c>
      <c r="N25" s="830">
        <f>SUM(N26:N27)</f>
        <v>0</v>
      </c>
      <c r="O25" s="830">
        <f>N25/K25*100</f>
        <v>0</v>
      </c>
    </row>
    <row r="26" spans="1:15" s="105" customFormat="1" ht="18" customHeight="1" x14ac:dyDescent="0.2">
      <c r="A26" s="810" t="s">
        <v>482</v>
      </c>
      <c r="B26" s="859">
        <f>'КБ+ФБ по соглашению'!H70/1000</f>
        <v>20494.599999999999</v>
      </c>
      <c r="C26" s="627"/>
      <c r="D26" s="627"/>
      <c r="E26" s="627"/>
      <c r="F26" s="627"/>
      <c r="G26" s="1006"/>
      <c r="H26" s="627"/>
      <c r="I26" s="164"/>
      <c r="J26" s="815"/>
      <c r="K26" s="814">
        <f>'КБ+ФБ по соглашению'!H69/1000</f>
        <v>8371</v>
      </c>
      <c r="L26" s="164"/>
      <c r="M26" s="164"/>
      <c r="N26" s="164"/>
      <c r="O26" s="164"/>
    </row>
    <row r="27" spans="1:15" s="105" customFormat="1" x14ac:dyDescent="0.2">
      <c r="A27" s="810" t="s">
        <v>483</v>
      </c>
      <c r="B27" s="859">
        <f>'КБ+ФБ по соглашению'!H73/1000</f>
        <v>6307.2</v>
      </c>
      <c r="C27" s="627"/>
      <c r="D27" s="627"/>
      <c r="E27" s="627"/>
      <c r="F27" s="627"/>
      <c r="G27" s="1006"/>
      <c r="H27" s="627"/>
      <c r="I27" s="164"/>
      <c r="J27" s="815"/>
      <c r="K27" s="814">
        <f>'КБ+ФБ по соглашению'!H72/1000</f>
        <v>2576.1999999999998</v>
      </c>
      <c r="L27" s="164"/>
      <c r="M27" s="164"/>
      <c r="N27" s="164"/>
      <c r="O27" s="164"/>
    </row>
    <row r="28" spans="1:15" s="105" customFormat="1" ht="31.5" x14ac:dyDescent="0.2">
      <c r="A28" s="919" t="s">
        <v>42</v>
      </c>
      <c r="B28" s="922">
        <f t="shared" ref="B28:G28" si="7">SUM(B29:B30)</f>
        <v>65499</v>
      </c>
      <c r="C28" s="921">
        <f t="shared" si="7"/>
        <v>0</v>
      </c>
      <c r="D28" s="921">
        <f t="shared" si="7"/>
        <v>0</v>
      </c>
      <c r="E28" s="923">
        <f t="shared" si="7"/>
        <v>3915</v>
      </c>
      <c r="F28" s="923">
        <f t="shared" si="7"/>
        <v>22368.311000000002</v>
      </c>
      <c r="G28" s="923">
        <f t="shared" si="7"/>
        <v>12178</v>
      </c>
      <c r="H28" s="921">
        <f t="shared" ref="H28" si="8">(C28+D28+E28+F28)/B28*100</f>
        <v>40.127805004656565</v>
      </c>
      <c r="I28" s="830" t="e">
        <f>SUM(I29:I30)</f>
        <v>#REF!</v>
      </c>
      <c r="J28" s="831" t="e">
        <f t="shared" ref="J28:J36" si="9">I28/B28*100</f>
        <v>#REF!</v>
      </c>
      <c r="K28" s="829">
        <f>SUM(K29:K30)</f>
        <v>99888.593640000006</v>
      </c>
      <c r="L28" s="830">
        <f>SUM(L29:L30)</f>
        <v>58655.148050000003</v>
      </c>
      <c r="M28" s="830">
        <f>L28/K28*100</f>
        <v>58.72056649570424</v>
      </c>
      <c r="N28" s="830" t="e">
        <f>SUM(N29:N30)</f>
        <v>#REF!</v>
      </c>
      <c r="O28" s="830" t="e">
        <f t="shared" si="3"/>
        <v>#REF!</v>
      </c>
    </row>
    <row r="29" spans="1:15" s="105" customFormat="1" x14ac:dyDescent="0.2">
      <c r="A29" s="810" t="s">
        <v>287</v>
      </c>
      <c r="B29" s="859">
        <f>'КБ+ФБ по соглашению'!H61/1000</f>
        <v>35643</v>
      </c>
      <c r="C29" s="627"/>
      <c r="D29" s="627"/>
      <c r="E29" s="627"/>
      <c r="F29" s="627">
        <v>14534.4</v>
      </c>
      <c r="G29" s="1006">
        <v>12178</v>
      </c>
      <c r="H29" s="857">
        <f t="shared" ref="H29:H35" si="10">(C29+D29+E29+F29+G29)/B29*100</f>
        <v>74.94430884044553</v>
      </c>
      <c r="I29" s="164" t="e">
        <f>край!#REF!</f>
        <v>#REF!</v>
      </c>
      <c r="J29" s="815" t="e">
        <f t="shared" si="9"/>
        <v>#REF!</v>
      </c>
      <c r="K29" s="814">
        <f>'КБ+ФБ по соглашению'!H60/1000</f>
        <v>54357</v>
      </c>
      <c r="L29" s="164">
        <f>край!P88</f>
        <v>40737.551670000001</v>
      </c>
      <c r="M29" s="602">
        <f t="shared" ref="M29:M35" si="11">L29/K29*100</f>
        <v>74.944444450576739</v>
      </c>
      <c r="N29" s="164" t="e">
        <f>край!#REF!</f>
        <v>#REF!</v>
      </c>
      <c r="O29" s="164" t="e">
        <f t="shared" si="3"/>
        <v>#REF!</v>
      </c>
    </row>
    <row r="30" spans="1:15" s="105" customFormat="1" ht="17.25" customHeight="1" x14ac:dyDescent="0.2">
      <c r="A30" s="810" t="s">
        <v>288</v>
      </c>
      <c r="B30" s="859">
        <f>'КБ+ФБ по соглашению'!H64/1000</f>
        <v>29856</v>
      </c>
      <c r="C30" s="641"/>
      <c r="D30" s="627"/>
      <c r="E30" s="627">
        <v>3915</v>
      </c>
      <c r="F30" s="627">
        <v>7833.9110000000001</v>
      </c>
      <c r="G30" s="1006"/>
      <c r="H30" s="857">
        <f t="shared" si="10"/>
        <v>39.351925911039658</v>
      </c>
      <c r="I30" s="164" t="e">
        <f>край!#REF!</f>
        <v>#REF!</v>
      </c>
      <c r="J30" s="815" t="e">
        <f t="shared" si="9"/>
        <v>#REF!</v>
      </c>
      <c r="K30" s="814">
        <f>'КБ+ФБ по соглашению'!H63/1000</f>
        <v>45531.593639999999</v>
      </c>
      <c r="L30" s="164">
        <f>край!P91</f>
        <v>17917.596379999999</v>
      </c>
      <c r="M30" s="602">
        <f t="shared" si="11"/>
        <v>39.352008018140609</v>
      </c>
      <c r="N30" s="164" t="e">
        <f>край!#REF!</f>
        <v>#REF!</v>
      </c>
      <c r="O30" s="164" t="e">
        <f t="shared" si="3"/>
        <v>#REF!</v>
      </c>
    </row>
    <row r="31" spans="1:15" s="105" customFormat="1" ht="32.25" customHeight="1" x14ac:dyDescent="0.2">
      <c r="A31" s="919" t="s">
        <v>307</v>
      </c>
      <c r="B31" s="922">
        <f t="shared" ref="B31:G31" si="12">SUM(B32:B35)</f>
        <v>12826.400000000001</v>
      </c>
      <c r="C31" s="921">
        <f t="shared" si="12"/>
        <v>7518.7496499999997</v>
      </c>
      <c r="D31" s="921">
        <f t="shared" si="12"/>
        <v>2869.5659999999998</v>
      </c>
      <c r="E31" s="921">
        <f t="shared" si="12"/>
        <v>0</v>
      </c>
      <c r="F31" s="921">
        <f t="shared" si="12"/>
        <v>0</v>
      </c>
      <c r="G31" s="921">
        <f t="shared" si="12"/>
        <v>1406.7150000000001</v>
      </c>
      <c r="H31" s="921">
        <f t="shared" ref="H31" si="13">(C31+D31+E31+F31)/B31*100</f>
        <v>80.991670694816932</v>
      </c>
      <c r="I31" s="830" t="e">
        <f>SUM(I32:I35)</f>
        <v>#REF!</v>
      </c>
      <c r="J31" s="831" t="e">
        <f t="shared" si="9"/>
        <v>#REF!</v>
      </c>
      <c r="K31" s="833">
        <f>SUM(K32:K35)</f>
        <v>3477.7159999999999</v>
      </c>
      <c r="L31" s="830">
        <f>SUM(L32:L35)</f>
        <v>3309.8650400000001</v>
      </c>
      <c r="M31" s="830">
        <f>L31/K31*100</f>
        <v>95.173528833291741</v>
      </c>
      <c r="N31" s="830" t="e">
        <f>SUM(N32:N35)</f>
        <v>#REF!</v>
      </c>
      <c r="O31" s="830" t="e">
        <f t="shared" si="3"/>
        <v>#REF!</v>
      </c>
    </row>
    <row r="32" spans="1:15" s="105" customFormat="1" ht="18.75" customHeight="1" x14ac:dyDescent="0.2">
      <c r="A32" s="810" t="s">
        <v>373</v>
      </c>
      <c r="B32" s="859">
        <f>'КБ+ФБ по соглашению'!H79/1000</f>
        <v>9318.7000000000007</v>
      </c>
      <c r="C32" s="627">
        <v>6449.13</v>
      </c>
      <c r="D32" s="627">
        <v>2869.5659999999998</v>
      </c>
      <c r="E32" s="627"/>
      <c r="F32" s="627"/>
      <c r="G32" s="1006"/>
      <c r="H32" s="857">
        <f t="shared" si="10"/>
        <v>99.999957075557745</v>
      </c>
      <c r="I32" s="164" t="e">
        <f>край!#REF!</f>
        <v>#REF!</v>
      </c>
      <c r="J32" s="815" t="e">
        <f t="shared" si="9"/>
        <v>#REF!</v>
      </c>
      <c r="K32" s="814">
        <f>'КБ+ФБ по соглашению'!H78/1000</f>
        <v>3293.1</v>
      </c>
      <c r="L32" s="164">
        <f>край!P160</f>
        <v>3293.1</v>
      </c>
      <c r="M32" s="602">
        <f t="shared" si="11"/>
        <v>100</v>
      </c>
      <c r="N32" s="164" t="e">
        <f>край!#REF!</f>
        <v>#REF!</v>
      </c>
      <c r="O32" s="164" t="e">
        <f t="shared" si="3"/>
        <v>#REF!</v>
      </c>
    </row>
    <row r="33" spans="1:15" s="105" customFormat="1" x14ac:dyDescent="0.2">
      <c r="A33" s="810" t="s">
        <v>346</v>
      </c>
      <c r="B33" s="859">
        <f>'КБ+ФБ по соглашению'!H82/1000</f>
        <v>337.1</v>
      </c>
      <c r="C33" s="743">
        <f>край!P155</f>
        <v>0</v>
      </c>
      <c r="D33" s="743"/>
      <c r="E33" s="743"/>
      <c r="F33" s="743"/>
      <c r="G33" s="743">
        <v>337.1</v>
      </c>
      <c r="H33" s="857">
        <f t="shared" si="10"/>
        <v>100</v>
      </c>
      <c r="I33" s="164" t="e">
        <f>край!#REF!</f>
        <v>#REF!</v>
      </c>
      <c r="J33" s="815" t="e">
        <f t="shared" si="9"/>
        <v>#REF!</v>
      </c>
      <c r="K33" s="814">
        <f>'КБ+ФБ по соглашению'!H81/1000</f>
        <v>17.739999999999998</v>
      </c>
      <c r="L33" s="164">
        <f>край!P154</f>
        <v>16.765040000000003</v>
      </c>
      <c r="M33" s="602">
        <f t="shared" si="11"/>
        <v>94.504171364148831</v>
      </c>
      <c r="N33" s="164" t="e">
        <f>край!#REF!</f>
        <v>#REF!</v>
      </c>
      <c r="O33" s="164" t="e">
        <f t="shared" si="3"/>
        <v>#REF!</v>
      </c>
    </row>
    <row r="34" spans="1:15" s="105" customFormat="1" x14ac:dyDescent="0.2">
      <c r="A34" s="810" t="s">
        <v>374</v>
      </c>
      <c r="B34" s="859">
        <f>'КБ+ФБ по соглашению'!H85/1000</f>
        <v>878.9</v>
      </c>
      <c r="C34" s="627">
        <f>край!P158</f>
        <v>205.10453000000001</v>
      </c>
      <c r="D34" s="627"/>
      <c r="E34" s="627"/>
      <c r="F34" s="627"/>
      <c r="G34" s="1006">
        <v>205.1</v>
      </c>
      <c r="H34" s="857">
        <f t="shared" si="10"/>
        <v>46.672491751052455</v>
      </c>
      <c r="I34" s="164" t="e">
        <f>край!#REF!</f>
        <v>#REF!</v>
      </c>
      <c r="J34" s="815" t="e">
        <f t="shared" si="9"/>
        <v>#REF!</v>
      </c>
      <c r="K34" s="814">
        <f>'КБ+ФБ по соглашению'!H84/1000</f>
        <v>46.26</v>
      </c>
      <c r="L34" s="164">
        <f>край!P157</f>
        <v>0</v>
      </c>
      <c r="M34" s="602">
        <f t="shared" si="11"/>
        <v>0</v>
      </c>
      <c r="N34" s="164" t="e">
        <f>край!#REF!</f>
        <v>#REF!</v>
      </c>
      <c r="O34" s="164" t="e">
        <f t="shared" si="3"/>
        <v>#REF!</v>
      </c>
    </row>
    <row r="35" spans="1:15" ht="16.5" thickBot="1" x14ac:dyDescent="0.25">
      <c r="A35" s="927" t="s">
        <v>348</v>
      </c>
      <c r="B35" s="928">
        <f>'КБ+ФБ по соглашению'!H88/1000</f>
        <v>2291.6999999999998</v>
      </c>
      <c r="C35" s="929">
        <f>'Роспись фед'!F41/1000</f>
        <v>864.51512000000002</v>
      </c>
      <c r="D35" s="929"/>
      <c r="E35" s="929"/>
      <c r="F35" s="929"/>
      <c r="G35" s="929">
        <v>864.51499999999999</v>
      </c>
      <c r="H35" s="857">
        <f t="shared" si="10"/>
        <v>75.447489636514376</v>
      </c>
      <c r="I35" s="602">
        <f>C35</f>
        <v>864.51512000000002</v>
      </c>
      <c r="J35" s="815">
        <f t="shared" si="9"/>
        <v>37.723747436400927</v>
      </c>
      <c r="K35" s="811">
        <f>'КБ+ФБ по соглашению'!H87/1000</f>
        <v>120.616</v>
      </c>
      <c r="L35" s="602"/>
      <c r="M35" s="602">
        <f t="shared" si="11"/>
        <v>0</v>
      </c>
      <c r="N35" s="602">
        <f>L35</f>
        <v>0</v>
      </c>
      <c r="O35" s="164">
        <f t="shared" si="3"/>
        <v>0</v>
      </c>
    </row>
    <row r="36" spans="1:15" ht="25.5" customHeight="1" thickBot="1" x14ac:dyDescent="0.25">
      <c r="A36" s="930" t="s">
        <v>289</v>
      </c>
      <c r="B36" s="931">
        <f t="shared" ref="B36:G36" si="14">B9+B16+B24+B21+B22+B23+B25+B28+B31</f>
        <v>1119157.5</v>
      </c>
      <c r="C36" s="931">
        <f t="shared" si="14"/>
        <v>158240.98324999999</v>
      </c>
      <c r="D36" s="931">
        <f t="shared" si="14"/>
        <v>463789.84232000005</v>
      </c>
      <c r="E36" s="931">
        <f t="shared" si="14"/>
        <v>186739.19500000001</v>
      </c>
      <c r="F36" s="931">
        <f t="shared" si="14"/>
        <v>22496.098000000002</v>
      </c>
      <c r="G36" s="931">
        <f t="shared" si="14"/>
        <v>150182.85500000001</v>
      </c>
      <c r="H36" s="932">
        <f>(C36+D36+E36+F36+G36)/B36*100</f>
        <v>87.695339893625359</v>
      </c>
      <c r="I36" s="816" t="e">
        <f>I9+I16+I24+I21+I22+I25+I28+I31</f>
        <v>#REF!</v>
      </c>
      <c r="J36" s="818" t="e">
        <f t="shared" si="9"/>
        <v>#REF!</v>
      </c>
      <c r="K36" s="816">
        <f>K9+K16+K24+K21+K22+K25+K28+K31</f>
        <v>433243.83021000004</v>
      </c>
      <c r="L36" s="816">
        <f>L9+L16+L24+L21+L22+L25+L28+L31</f>
        <v>336508.00517000002</v>
      </c>
      <c r="M36" s="817">
        <f>L36/K36*100</f>
        <v>77.671736261515676</v>
      </c>
      <c r="N36" s="816" t="e">
        <f>N9+N16+N24+N21+N22+N25+N28+N31</f>
        <v>#REF!</v>
      </c>
      <c r="O36" s="819" t="e">
        <f t="shared" si="3"/>
        <v>#REF!</v>
      </c>
    </row>
    <row r="37" spans="1:15" ht="23.25" customHeight="1" thickBot="1" x14ac:dyDescent="0.25">
      <c r="A37" s="933" t="s">
        <v>644</v>
      </c>
      <c r="B37" s="934"/>
      <c r="C37" s="935">
        <f>C36/B36*100</f>
        <v>14.139295251115236</v>
      </c>
      <c r="D37" s="935">
        <f>(C36+D36)/B36*100</f>
        <v>55.580275838744775</v>
      </c>
      <c r="E37" s="935">
        <f>(C36+D36+E36)/B36*100</f>
        <v>72.265969764756093</v>
      </c>
      <c r="F37" s="935">
        <f>(C36+D36+E36+F36)/B36*100</f>
        <v>74.276061999316468</v>
      </c>
      <c r="G37" s="935">
        <f>(C36+D36+E36+F36+G36)/B36*100</f>
        <v>87.695339893625359</v>
      </c>
      <c r="H37" s="936"/>
      <c r="I37" s="820"/>
      <c r="J37" s="821"/>
      <c r="K37" s="601"/>
      <c r="L37" s="601"/>
      <c r="M37" s="601"/>
      <c r="N37" s="601"/>
      <c r="O37" s="601"/>
    </row>
    <row r="38" spans="1:15" ht="26.25" customHeight="1" thickBot="1" x14ac:dyDescent="0.25">
      <c r="A38" s="918" t="s">
        <v>412</v>
      </c>
      <c r="B38" s="890">
        <v>1013441.7999999999</v>
      </c>
      <c r="C38" s="891">
        <v>234071.7</v>
      </c>
      <c r="D38" s="891">
        <v>85656</v>
      </c>
      <c r="E38" s="891">
        <v>70892.399999999994</v>
      </c>
      <c r="F38" s="891">
        <v>260125.97</v>
      </c>
      <c r="G38" s="1009">
        <v>78906.399999999994</v>
      </c>
      <c r="H38" s="892">
        <f>(C38+D38+E38+F38+G38)/B38*100</f>
        <v>71.997471389082236</v>
      </c>
      <c r="I38" s="889">
        <v>11593.645759999999</v>
      </c>
      <c r="J38" s="812">
        <v>1.0884160659025364</v>
      </c>
      <c r="K38" s="811">
        <v>311583.63989000005</v>
      </c>
      <c r="L38" s="602">
        <v>36834.25043</v>
      </c>
      <c r="M38" s="602">
        <v>11.821625308377481</v>
      </c>
      <c r="N38" s="602">
        <v>4096.99118</v>
      </c>
      <c r="O38" s="813">
        <v>1.3148929069082003</v>
      </c>
    </row>
    <row r="39" spans="1:15" ht="9" customHeight="1" x14ac:dyDescent="0.2"/>
    <row r="40" spans="1:15" ht="9" customHeight="1" x14ac:dyDescent="0.2">
      <c r="A40" s="912"/>
      <c r="B40" s="913"/>
      <c r="C40" s="914"/>
      <c r="D40" s="914"/>
      <c r="E40" s="914"/>
      <c r="F40" s="914"/>
      <c r="G40" s="914"/>
      <c r="H40" s="915"/>
      <c r="I40" s="916"/>
      <c r="J40" s="917"/>
      <c r="K40" s="916"/>
      <c r="L40" s="916"/>
      <c r="M40" s="916"/>
      <c r="N40" s="916"/>
      <c r="O40" s="916"/>
    </row>
    <row r="41" spans="1:15" ht="25.5" customHeight="1" thickBot="1" x14ac:dyDescent="0.25">
      <c r="A41" s="1221" t="s">
        <v>371</v>
      </c>
      <c r="B41" s="1222"/>
      <c r="C41" s="1222"/>
      <c r="D41" s="1222"/>
      <c r="E41" s="1222"/>
      <c r="F41" s="1222"/>
      <c r="G41" s="1222"/>
      <c r="H41" s="1222"/>
      <c r="I41" s="1222"/>
      <c r="J41" s="1222"/>
      <c r="K41" s="822"/>
      <c r="L41" s="822"/>
      <c r="M41" s="822"/>
      <c r="N41" s="822"/>
      <c r="O41" s="823"/>
    </row>
    <row r="42" spans="1:15" ht="51" customHeight="1" thickBot="1" x14ac:dyDescent="0.25">
      <c r="A42" s="450" t="s">
        <v>474</v>
      </c>
      <c r="B42" s="925">
        <f>'КБ+ФБ по соглашению'!H55/1000</f>
        <v>17454.3</v>
      </c>
      <c r="C42" s="926">
        <v>11597.73</v>
      </c>
      <c r="D42" s="926">
        <v>3847.68</v>
      </c>
      <c r="E42" s="926">
        <v>2008.29</v>
      </c>
      <c r="F42" s="926"/>
      <c r="G42" s="1010"/>
      <c r="H42" s="924">
        <f>(C42+D42+E42+F42)/B42*100</f>
        <v>99.996562451659486</v>
      </c>
      <c r="I42" s="888" t="e">
        <f>край!#REF!</f>
        <v>#REF!</v>
      </c>
      <c r="J42" s="837" t="e">
        <f>I42/B42*100</f>
        <v>#REF!</v>
      </c>
      <c r="K42" s="835">
        <f>'КБ+ФБ по соглашению'!H54/1000</f>
        <v>7129.2211200000002</v>
      </c>
      <c r="L42" s="836">
        <f>край!P112</f>
        <v>7129.2211200000002</v>
      </c>
      <c r="M42" s="836">
        <f>L42/K42*100</f>
        <v>100</v>
      </c>
      <c r="N42" s="836" t="e">
        <f>край!#REF!</f>
        <v>#REF!</v>
      </c>
      <c r="O42" s="837" t="e">
        <f>N42/K42*100</f>
        <v>#REF!</v>
      </c>
    </row>
    <row r="43" spans="1:15" ht="20.25" customHeight="1" x14ac:dyDescent="0.2">
      <c r="A43" s="306" t="s">
        <v>412</v>
      </c>
      <c r="B43" s="824">
        <v>21289.5</v>
      </c>
      <c r="C43" s="824">
        <v>6969.0355600000003</v>
      </c>
      <c r="D43" s="824">
        <v>2226.89</v>
      </c>
      <c r="E43" s="824">
        <v>2139.4699999999998</v>
      </c>
      <c r="F43" s="824">
        <v>2166.62</v>
      </c>
      <c r="G43" s="824">
        <v>1535.5</v>
      </c>
      <c r="H43" s="857">
        <f t="shared" ref="H43" si="15">(C43+D43+E43+F43+G43)/B43*100</f>
        <v>70.633483924000089</v>
      </c>
      <c r="I43" s="824">
        <v>0</v>
      </c>
      <c r="J43" s="825">
        <v>0</v>
      </c>
      <c r="K43" s="824">
        <v>7096.5</v>
      </c>
      <c r="L43" s="824">
        <v>2323.01188</v>
      </c>
      <c r="M43" s="825">
        <v>32.734613964630455</v>
      </c>
      <c r="N43" s="824">
        <v>0</v>
      </c>
      <c r="O43" s="825">
        <v>0</v>
      </c>
    </row>
    <row r="45" spans="1:15" ht="16.5" thickBot="1" x14ac:dyDescent="0.25">
      <c r="A45" s="595" t="s">
        <v>601</v>
      </c>
      <c r="B45" s="852">
        <f t="shared" ref="B45:G45" si="16">B36+B42</f>
        <v>1136611.8</v>
      </c>
      <c r="C45" s="852">
        <f t="shared" si="16"/>
        <v>169838.71325</v>
      </c>
      <c r="D45" s="852">
        <f t="shared" si="16"/>
        <v>467637.52232000005</v>
      </c>
      <c r="E45" s="852">
        <f t="shared" si="16"/>
        <v>188747.48500000002</v>
      </c>
      <c r="F45" s="852">
        <f t="shared" si="16"/>
        <v>22496.098000000002</v>
      </c>
      <c r="G45" s="852">
        <f t="shared" si="16"/>
        <v>150182.85500000001</v>
      </c>
      <c r="H45" s="817">
        <f>(C45+D45+E45+F45)/B45*100</f>
        <v>74.671037074399536</v>
      </c>
    </row>
    <row r="49" spans="8:8" x14ac:dyDescent="0.2">
      <c r="H49" s="602"/>
    </row>
    <row r="51" spans="8:8" x14ac:dyDescent="0.2">
      <c r="H51" s="127"/>
    </row>
  </sheetData>
  <mergeCells count="6">
    <mergeCell ref="A41:J41"/>
    <mergeCell ref="A4:A5"/>
    <mergeCell ref="B4:J4"/>
    <mergeCell ref="K4:O4"/>
    <mergeCell ref="A1:J1"/>
    <mergeCell ref="A7:J7"/>
  </mergeCells>
  <pageMargins left="0.43307086614173229" right="0.23622047244094491" top="0.74803149606299213" bottom="0.55118110236220474" header="0.31496062992125984" footer="0.31496062992125984"/>
  <pageSetup paperSize="9" scale="9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8"/>
  <sheetViews>
    <sheetView view="pageBreakPreview" zoomScaleNormal="100" zoomScaleSheetLayoutView="100" workbookViewId="0">
      <selection activeCell="L12" sqref="L12"/>
    </sheetView>
  </sheetViews>
  <sheetFormatPr defaultRowHeight="12" x14ac:dyDescent="0.2"/>
  <cols>
    <col min="1" max="1" width="8" style="738" customWidth="1"/>
    <col min="2" max="2" width="9.140625" style="738"/>
    <col min="3" max="3" width="10.85546875" style="738" customWidth="1"/>
    <col min="4" max="4" width="8.140625" style="738" customWidth="1"/>
    <col min="5" max="5" width="19.7109375" style="738" customWidth="1"/>
    <col min="6" max="6" width="13" style="738" customWidth="1"/>
    <col min="7" max="8" width="13.85546875" style="738" customWidth="1"/>
    <col min="9" max="9" width="10.28515625" style="738" customWidth="1"/>
    <col min="10" max="16384" width="9.140625" style="738"/>
  </cols>
  <sheetData>
    <row r="1" spans="1:10" ht="12" customHeight="1" x14ac:dyDescent="0.2">
      <c r="A1" s="872" t="s">
        <v>614</v>
      </c>
      <c r="B1" s="873"/>
      <c r="C1" s="873"/>
      <c r="D1" s="873"/>
      <c r="E1" s="874"/>
      <c r="F1" s="873"/>
      <c r="G1" s="874"/>
      <c r="H1" s="874"/>
      <c r="I1" s="873"/>
      <c r="J1" s="873"/>
    </row>
    <row r="2" spans="1:10" x14ac:dyDescent="0.2">
      <c r="A2" s="875" t="s">
        <v>633</v>
      </c>
      <c r="B2" s="875"/>
      <c r="C2" s="875"/>
      <c r="D2" s="875"/>
      <c r="E2" s="875"/>
      <c r="F2" s="875"/>
      <c r="G2" s="875"/>
      <c r="H2" s="875"/>
      <c r="I2" s="875"/>
      <c r="J2" s="875"/>
    </row>
    <row r="3" spans="1:10" ht="12.75" x14ac:dyDescent="0.2">
      <c r="A3" s="876"/>
      <c r="B3" s="887"/>
      <c r="C3" s="887"/>
      <c r="D3" s="887"/>
      <c r="E3" s="887"/>
      <c r="F3" s="887"/>
      <c r="G3" s="887"/>
      <c r="H3" s="887"/>
      <c r="I3" s="876"/>
      <c r="J3" s="876"/>
    </row>
    <row r="4" spans="1:10" ht="12.75" customHeight="1" x14ac:dyDescent="0.2">
      <c r="A4" s="876" t="s">
        <v>628</v>
      </c>
      <c r="B4" s="887"/>
      <c r="C4" s="887"/>
      <c r="D4" s="887"/>
      <c r="E4" s="887"/>
      <c r="F4" s="887"/>
      <c r="G4" s="887"/>
      <c r="H4" s="877"/>
      <c r="I4" s="877"/>
      <c r="J4" s="877"/>
    </row>
    <row r="5" spans="1:10" ht="12.75" x14ac:dyDescent="0.2">
      <c r="A5" s="876"/>
      <c r="B5" s="887"/>
      <c r="C5" s="887"/>
      <c r="D5" s="887"/>
      <c r="E5" s="887"/>
      <c r="F5" s="887"/>
      <c r="G5" s="887"/>
      <c r="H5" s="877"/>
      <c r="I5" s="877"/>
      <c r="J5" s="877"/>
    </row>
    <row r="6" spans="1:10" x14ac:dyDescent="0.2">
      <c r="A6" s="878" t="s">
        <v>486</v>
      </c>
      <c r="B6" s="878"/>
      <c r="C6" s="878"/>
      <c r="D6" s="878"/>
      <c r="E6" s="878"/>
      <c r="F6" s="878"/>
      <c r="G6" s="878"/>
      <c r="H6" s="878"/>
      <c r="I6" s="875"/>
      <c r="J6" s="875"/>
    </row>
    <row r="7" spans="1:10" ht="31.5" x14ac:dyDescent="0.2">
      <c r="A7" s="879" t="s">
        <v>487</v>
      </c>
      <c r="B7" s="879" t="s">
        <v>488</v>
      </c>
      <c r="C7" s="879" t="s">
        <v>489</v>
      </c>
      <c r="D7" s="879" t="s">
        <v>490</v>
      </c>
      <c r="E7" s="879" t="s">
        <v>491</v>
      </c>
      <c r="F7" s="879" t="s">
        <v>492</v>
      </c>
      <c r="G7" s="879" t="s">
        <v>493</v>
      </c>
      <c r="H7" s="879" t="s">
        <v>494</v>
      </c>
      <c r="I7" s="877"/>
      <c r="J7" s="877"/>
    </row>
    <row r="8" spans="1:10" ht="12.75" x14ac:dyDescent="0.2">
      <c r="A8" s="880" t="s">
        <v>241</v>
      </c>
      <c r="B8" s="880" t="s">
        <v>495</v>
      </c>
      <c r="C8" s="881" t="s">
        <v>625</v>
      </c>
      <c r="D8" s="881" t="s">
        <v>14</v>
      </c>
      <c r="E8" s="881" t="s">
        <v>496</v>
      </c>
      <c r="F8" s="882">
        <v>228084784.09999999</v>
      </c>
      <c r="G8" s="882">
        <v>228084784.09999999</v>
      </c>
      <c r="H8" s="882">
        <v>0</v>
      </c>
      <c r="I8" s="877"/>
      <c r="J8" s="877"/>
    </row>
    <row r="9" spans="1:10" ht="12.75" x14ac:dyDescent="0.2">
      <c r="A9" s="880" t="s">
        <v>241</v>
      </c>
      <c r="B9" s="880" t="s">
        <v>495</v>
      </c>
      <c r="C9" s="881" t="s">
        <v>616</v>
      </c>
      <c r="D9" s="881" t="s">
        <v>14</v>
      </c>
      <c r="E9" s="881" t="s">
        <v>496</v>
      </c>
      <c r="F9" s="882">
        <v>10219497.220000001</v>
      </c>
      <c r="G9" s="882">
        <v>10219497.220000001</v>
      </c>
      <c r="H9" s="882">
        <v>0</v>
      </c>
      <c r="I9" s="877"/>
      <c r="J9" s="877"/>
    </row>
    <row r="10" spans="1:10" ht="12.75" x14ac:dyDescent="0.2">
      <c r="A10" s="880" t="s">
        <v>241</v>
      </c>
      <c r="B10" s="880" t="s">
        <v>495</v>
      </c>
      <c r="C10" s="881" t="s">
        <v>629</v>
      </c>
      <c r="D10" s="881" t="s">
        <v>14</v>
      </c>
      <c r="E10" s="881" t="s">
        <v>496</v>
      </c>
      <c r="F10" s="882">
        <v>22816782.800000001</v>
      </c>
      <c r="G10" s="882">
        <v>22816782.800000001</v>
      </c>
      <c r="H10" s="882">
        <v>0</v>
      </c>
      <c r="I10" s="877"/>
      <c r="J10" s="877"/>
    </row>
    <row r="11" spans="1:10" ht="12.75" x14ac:dyDescent="0.2">
      <c r="A11" s="880" t="s">
        <v>241</v>
      </c>
      <c r="B11" s="880" t="s">
        <v>495</v>
      </c>
      <c r="C11" s="881" t="s">
        <v>617</v>
      </c>
      <c r="D11" s="881" t="s">
        <v>14</v>
      </c>
      <c r="E11" s="881" t="s">
        <v>496</v>
      </c>
      <c r="F11" s="882">
        <v>59058.9</v>
      </c>
      <c r="G11" s="882">
        <v>59058.9</v>
      </c>
      <c r="H11" s="882">
        <v>0</v>
      </c>
      <c r="I11" s="877"/>
      <c r="J11" s="877"/>
    </row>
    <row r="12" spans="1:10" ht="12.75" x14ac:dyDescent="0.2">
      <c r="A12" s="880" t="s">
        <v>241</v>
      </c>
      <c r="B12" s="880" t="s">
        <v>495</v>
      </c>
      <c r="C12" s="881" t="s">
        <v>588</v>
      </c>
      <c r="D12" s="881" t="s">
        <v>14</v>
      </c>
      <c r="E12" s="881" t="s">
        <v>496</v>
      </c>
      <c r="F12" s="882">
        <v>18491355.920000002</v>
      </c>
      <c r="G12" s="882">
        <v>18491355.920000002</v>
      </c>
      <c r="H12" s="882">
        <v>0</v>
      </c>
      <c r="I12" s="877"/>
      <c r="J12" s="877"/>
    </row>
    <row r="13" spans="1:10" ht="12.75" x14ac:dyDescent="0.2">
      <c r="A13" s="880" t="s">
        <v>241</v>
      </c>
      <c r="B13" s="880" t="s">
        <v>495</v>
      </c>
      <c r="C13" s="881" t="s">
        <v>497</v>
      </c>
      <c r="D13" s="881" t="s">
        <v>63</v>
      </c>
      <c r="E13" s="881" t="s">
        <v>496</v>
      </c>
      <c r="F13" s="882">
        <v>89107621.819999993</v>
      </c>
      <c r="G13" s="882">
        <v>73215278.260000005</v>
      </c>
      <c r="H13" s="882">
        <v>15892343.560000001</v>
      </c>
      <c r="I13" s="877"/>
      <c r="J13" s="877"/>
    </row>
    <row r="14" spans="1:10" ht="12.75" x14ac:dyDescent="0.2">
      <c r="A14" s="880" t="s">
        <v>241</v>
      </c>
      <c r="B14" s="880" t="s">
        <v>495</v>
      </c>
      <c r="C14" s="881" t="s">
        <v>498</v>
      </c>
      <c r="D14" s="881" t="s">
        <v>63</v>
      </c>
      <c r="E14" s="881" t="s">
        <v>496</v>
      </c>
      <c r="F14" s="882">
        <v>137848</v>
      </c>
      <c r="G14" s="882">
        <v>137848</v>
      </c>
      <c r="H14" s="882">
        <v>0</v>
      </c>
      <c r="I14" s="877"/>
      <c r="J14" s="877"/>
    </row>
    <row r="15" spans="1:10" ht="12.75" x14ac:dyDescent="0.2">
      <c r="A15" s="880" t="s">
        <v>241</v>
      </c>
      <c r="B15" s="880" t="s">
        <v>495</v>
      </c>
      <c r="C15" s="881" t="s">
        <v>499</v>
      </c>
      <c r="D15" s="881" t="s">
        <v>63</v>
      </c>
      <c r="E15" s="881" t="s">
        <v>496</v>
      </c>
      <c r="F15" s="882">
        <v>50184230</v>
      </c>
      <c r="G15" s="882">
        <v>50184230</v>
      </c>
      <c r="H15" s="882">
        <v>0</v>
      </c>
      <c r="I15" s="877"/>
      <c r="J15" s="877"/>
    </row>
    <row r="16" spans="1:10" ht="12.75" x14ac:dyDescent="0.2">
      <c r="A16" s="880" t="s">
        <v>241</v>
      </c>
      <c r="B16" s="880" t="s">
        <v>495</v>
      </c>
      <c r="C16" s="881" t="s">
        <v>607</v>
      </c>
      <c r="D16" s="881" t="s">
        <v>14</v>
      </c>
      <c r="E16" s="881" t="s">
        <v>496</v>
      </c>
      <c r="F16" s="882">
        <v>157878061.96000001</v>
      </c>
      <c r="G16" s="882">
        <v>157878061.96000001</v>
      </c>
      <c r="H16" s="882">
        <v>0</v>
      </c>
      <c r="I16" s="877"/>
      <c r="J16" s="877"/>
    </row>
    <row r="17" spans="1:10" ht="12.75" x14ac:dyDescent="0.2">
      <c r="A17" s="880" t="s">
        <v>241</v>
      </c>
      <c r="B17" s="880" t="s">
        <v>495</v>
      </c>
      <c r="C17" s="881" t="s">
        <v>630</v>
      </c>
      <c r="D17" s="881" t="s">
        <v>14</v>
      </c>
      <c r="E17" s="881" t="s">
        <v>496</v>
      </c>
      <c r="F17" s="882">
        <v>24423170</v>
      </c>
      <c r="G17" s="882">
        <v>24423170</v>
      </c>
      <c r="H17" s="882">
        <v>0</v>
      </c>
      <c r="I17" s="877"/>
      <c r="J17" s="877"/>
    </row>
    <row r="18" spans="1:10" ht="12.75" x14ac:dyDescent="0.2">
      <c r="A18" s="880" t="s">
        <v>241</v>
      </c>
      <c r="B18" s="880" t="s">
        <v>495</v>
      </c>
      <c r="C18" s="881" t="s">
        <v>631</v>
      </c>
      <c r="D18" s="881" t="s">
        <v>14</v>
      </c>
      <c r="E18" s="881" t="s">
        <v>496</v>
      </c>
      <c r="F18" s="882">
        <v>1756300</v>
      </c>
      <c r="G18" s="882">
        <v>1756300</v>
      </c>
      <c r="H18" s="882">
        <v>0</v>
      </c>
      <c r="I18" s="877"/>
      <c r="J18" s="877"/>
    </row>
    <row r="19" spans="1:10" ht="12.75" x14ac:dyDescent="0.2">
      <c r="A19" s="880" t="s">
        <v>241</v>
      </c>
      <c r="B19" s="880" t="s">
        <v>495</v>
      </c>
      <c r="C19" s="881" t="s">
        <v>589</v>
      </c>
      <c r="D19" s="881" t="s">
        <v>14</v>
      </c>
      <c r="E19" s="881" t="s">
        <v>496</v>
      </c>
      <c r="F19" s="882">
        <v>26569376.989999998</v>
      </c>
      <c r="G19" s="882">
        <v>26569376.989999998</v>
      </c>
      <c r="H19" s="882">
        <v>0</v>
      </c>
      <c r="I19" s="877"/>
      <c r="J19" s="877"/>
    </row>
    <row r="20" spans="1:10" ht="12.75" x14ac:dyDescent="0.2">
      <c r="A20" s="880" t="s">
        <v>241</v>
      </c>
      <c r="B20" s="880" t="s">
        <v>495</v>
      </c>
      <c r="C20" s="881" t="s">
        <v>615</v>
      </c>
      <c r="D20" s="881" t="s">
        <v>14</v>
      </c>
      <c r="E20" s="881" t="s">
        <v>496</v>
      </c>
      <c r="F20" s="882">
        <v>29819295.199999999</v>
      </c>
      <c r="G20" s="882">
        <v>29819295.199999999</v>
      </c>
      <c r="H20" s="882">
        <v>0</v>
      </c>
      <c r="I20" s="877"/>
      <c r="J20" s="877"/>
    </row>
    <row r="21" spans="1:10" ht="12.75" x14ac:dyDescent="0.2">
      <c r="A21" s="880" t="s">
        <v>241</v>
      </c>
      <c r="B21" s="880" t="s">
        <v>495</v>
      </c>
      <c r="C21" s="881" t="s">
        <v>608</v>
      </c>
      <c r="D21" s="881" t="s">
        <v>14</v>
      </c>
      <c r="E21" s="881" t="s">
        <v>496</v>
      </c>
      <c r="F21" s="882">
        <v>46680000</v>
      </c>
      <c r="G21" s="882">
        <v>46680000</v>
      </c>
      <c r="H21" s="882">
        <v>0</v>
      </c>
      <c r="I21" s="877"/>
      <c r="J21" s="877"/>
    </row>
    <row r="22" spans="1:10" ht="12.75" x14ac:dyDescent="0.2">
      <c r="A22" s="880" t="s">
        <v>241</v>
      </c>
      <c r="B22" s="880" t="s">
        <v>495</v>
      </c>
      <c r="C22" s="881" t="s">
        <v>632</v>
      </c>
      <c r="D22" s="881" t="s">
        <v>14</v>
      </c>
      <c r="E22" s="881" t="s">
        <v>455</v>
      </c>
      <c r="F22" s="882">
        <v>1806196.85</v>
      </c>
      <c r="G22" s="882">
        <v>0</v>
      </c>
      <c r="H22" s="882">
        <v>1806196.85</v>
      </c>
      <c r="I22" s="877"/>
      <c r="J22" s="877"/>
    </row>
    <row r="23" spans="1:10" ht="12.75" x14ac:dyDescent="0.2">
      <c r="A23" s="880" t="s">
        <v>241</v>
      </c>
      <c r="B23" s="880" t="s">
        <v>495</v>
      </c>
      <c r="C23" s="881" t="s">
        <v>632</v>
      </c>
      <c r="D23" s="881" t="s">
        <v>16</v>
      </c>
      <c r="E23" s="881" t="s">
        <v>455</v>
      </c>
      <c r="F23" s="882">
        <v>178809988.24000001</v>
      </c>
      <c r="G23" s="882">
        <v>0</v>
      </c>
      <c r="H23" s="882">
        <v>178809988.24000001</v>
      </c>
      <c r="I23" s="877"/>
      <c r="J23" s="877"/>
    </row>
    <row r="24" spans="1:10" ht="12.75" x14ac:dyDescent="0.2">
      <c r="A24" s="880" t="s">
        <v>241</v>
      </c>
      <c r="B24" s="880" t="s">
        <v>495</v>
      </c>
      <c r="C24" s="881" t="s">
        <v>623</v>
      </c>
      <c r="D24" s="881" t="s">
        <v>14</v>
      </c>
      <c r="E24" s="881" t="s">
        <v>448</v>
      </c>
      <c r="F24" s="882">
        <v>59548013.950000003</v>
      </c>
      <c r="G24" s="882">
        <v>59548013.950000003</v>
      </c>
      <c r="H24" s="882">
        <v>0</v>
      </c>
      <c r="I24" s="877"/>
      <c r="J24" s="877"/>
    </row>
    <row r="25" spans="1:10" ht="12.75" x14ac:dyDescent="0.2">
      <c r="A25" s="880" t="s">
        <v>241</v>
      </c>
      <c r="B25" s="880" t="s">
        <v>495</v>
      </c>
      <c r="C25" s="881" t="s">
        <v>623</v>
      </c>
      <c r="D25" s="881" t="s">
        <v>16</v>
      </c>
      <c r="E25" s="881" t="s">
        <v>448</v>
      </c>
      <c r="F25" s="882">
        <v>145789965.19</v>
      </c>
      <c r="G25" s="882">
        <v>145789965.19</v>
      </c>
      <c r="H25" s="882">
        <v>0</v>
      </c>
      <c r="I25" s="877"/>
      <c r="J25" s="877"/>
    </row>
    <row r="26" spans="1:10" ht="12.75" x14ac:dyDescent="0.2">
      <c r="A26" s="880" t="s">
        <v>241</v>
      </c>
      <c r="B26" s="880" t="s">
        <v>495</v>
      </c>
      <c r="C26" s="881" t="s">
        <v>624</v>
      </c>
      <c r="D26" s="881" t="s">
        <v>14</v>
      </c>
      <c r="E26" s="881" t="s">
        <v>449</v>
      </c>
      <c r="F26" s="882">
        <v>19547770.719999999</v>
      </c>
      <c r="G26" s="882">
        <v>19282368.390000001</v>
      </c>
      <c r="H26" s="882">
        <v>265402.33</v>
      </c>
      <c r="I26" s="877"/>
      <c r="J26" s="877"/>
    </row>
    <row r="27" spans="1:10" ht="12.75" x14ac:dyDescent="0.2">
      <c r="A27" s="880" t="s">
        <v>241</v>
      </c>
      <c r="B27" s="880" t="s">
        <v>495</v>
      </c>
      <c r="C27" s="881" t="s">
        <v>624</v>
      </c>
      <c r="D27" s="881" t="s">
        <v>16</v>
      </c>
      <c r="E27" s="881" t="s">
        <v>449</v>
      </c>
      <c r="F27" s="882">
        <v>47858335.219999999</v>
      </c>
      <c r="G27" s="882">
        <v>47208557.079999998</v>
      </c>
      <c r="H27" s="882">
        <v>649778.14</v>
      </c>
      <c r="I27" s="877"/>
      <c r="J27" s="877"/>
    </row>
    <row r="28" spans="1:10" ht="12.75" x14ac:dyDescent="0.2">
      <c r="A28" s="880" t="s">
        <v>241</v>
      </c>
      <c r="B28" s="880" t="s">
        <v>495</v>
      </c>
      <c r="C28" s="881" t="s">
        <v>597</v>
      </c>
      <c r="D28" s="881" t="s">
        <v>14</v>
      </c>
      <c r="E28" s="881" t="s">
        <v>449</v>
      </c>
      <c r="F28" s="882">
        <v>49589812.859999999</v>
      </c>
      <c r="G28" s="882">
        <v>49589812.859999999</v>
      </c>
      <c r="H28" s="882">
        <v>0</v>
      </c>
      <c r="I28" s="877"/>
      <c r="J28" s="877"/>
    </row>
    <row r="29" spans="1:10" ht="12.75" x14ac:dyDescent="0.2">
      <c r="A29" s="880" t="s">
        <v>241</v>
      </c>
      <c r="B29" s="880" t="s">
        <v>495</v>
      </c>
      <c r="C29" s="881" t="s">
        <v>597</v>
      </c>
      <c r="D29" s="881" t="s">
        <v>16</v>
      </c>
      <c r="E29" s="881" t="s">
        <v>449</v>
      </c>
      <c r="F29" s="882">
        <v>121409541.81999999</v>
      </c>
      <c r="G29" s="882">
        <v>121409541.81999999</v>
      </c>
      <c r="H29" s="882">
        <v>0</v>
      </c>
      <c r="I29" s="877"/>
      <c r="J29" s="877"/>
    </row>
    <row r="30" spans="1:10" ht="12.75" x14ac:dyDescent="0.2">
      <c r="A30" s="880" t="s">
        <v>241</v>
      </c>
      <c r="B30" s="880" t="s">
        <v>495</v>
      </c>
      <c r="C30" s="881" t="s">
        <v>609</v>
      </c>
      <c r="D30" s="881" t="s">
        <v>14</v>
      </c>
      <c r="E30" s="881" t="s">
        <v>449</v>
      </c>
      <c r="F30" s="882">
        <v>60161840.439999998</v>
      </c>
      <c r="G30" s="882">
        <v>60069973.920000002</v>
      </c>
      <c r="H30" s="882">
        <v>91866.52</v>
      </c>
      <c r="I30" s="877"/>
      <c r="J30" s="877"/>
    </row>
    <row r="31" spans="1:10" ht="12.75" x14ac:dyDescent="0.2">
      <c r="A31" s="880" t="s">
        <v>241</v>
      </c>
      <c r="B31" s="880" t="s">
        <v>495</v>
      </c>
      <c r="C31" s="881" t="s">
        <v>609</v>
      </c>
      <c r="D31" s="881" t="s">
        <v>16</v>
      </c>
      <c r="E31" s="881" t="s">
        <v>449</v>
      </c>
      <c r="F31" s="882">
        <v>147292781.75999999</v>
      </c>
      <c r="G31" s="882">
        <v>147067867.19999999</v>
      </c>
      <c r="H31" s="882">
        <v>224914.56</v>
      </c>
      <c r="I31" s="877"/>
      <c r="J31" s="877"/>
    </row>
    <row r="32" spans="1:10" ht="12.75" x14ac:dyDescent="0.2">
      <c r="A32" s="880" t="s">
        <v>241</v>
      </c>
      <c r="B32" s="880" t="s">
        <v>495</v>
      </c>
      <c r="C32" s="881" t="s">
        <v>590</v>
      </c>
      <c r="D32" s="881" t="s">
        <v>14</v>
      </c>
      <c r="E32" s="881" t="s">
        <v>449</v>
      </c>
      <c r="F32" s="882">
        <v>2430408.79</v>
      </c>
      <c r="G32" s="882">
        <v>2430408.79</v>
      </c>
      <c r="H32" s="882">
        <v>0</v>
      </c>
      <c r="I32" s="877"/>
      <c r="J32" s="877"/>
    </row>
    <row r="33" spans="1:10" ht="12.75" x14ac:dyDescent="0.2">
      <c r="A33" s="880" t="s">
        <v>241</v>
      </c>
      <c r="B33" s="880" t="s">
        <v>495</v>
      </c>
      <c r="C33" s="881" t="s">
        <v>590</v>
      </c>
      <c r="D33" s="881" t="s">
        <v>16</v>
      </c>
      <c r="E33" s="881" t="s">
        <v>449</v>
      </c>
      <c r="F33" s="882">
        <v>5950311.1900000004</v>
      </c>
      <c r="G33" s="882">
        <v>5950311.1900000004</v>
      </c>
      <c r="H33" s="882">
        <v>0</v>
      </c>
      <c r="I33" s="877"/>
      <c r="J33" s="877"/>
    </row>
    <row r="34" spans="1:10" ht="12.75" x14ac:dyDescent="0.2">
      <c r="A34" s="880" t="s">
        <v>241</v>
      </c>
      <c r="B34" s="880" t="s">
        <v>495</v>
      </c>
      <c r="C34" s="881" t="s">
        <v>591</v>
      </c>
      <c r="D34" s="881" t="s">
        <v>14</v>
      </c>
      <c r="E34" s="881" t="s">
        <v>496</v>
      </c>
      <c r="F34" s="882">
        <v>1027419.99</v>
      </c>
      <c r="G34" s="882">
        <v>1027419.99</v>
      </c>
      <c r="H34" s="882">
        <v>0</v>
      </c>
      <c r="I34" s="877"/>
      <c r="J34" s="877"/>
    </row>
    <row r="35" spans="1:10" ht="12.75" x14ac:dyDescent="0.2">
      <c r="A35" s="880" t="s">
        <v>241</v>
      </c>
      <c r="B35" s="880" t="s">
        <v>495</v>
      </c>
      <c r="C35" s="881" t="s">
        <v>592</v>
      </c>
      <c r="D35" s="881" t="s">
        <v>14</v>
      </c>
      <c r="E35" s="881" t="s">
        <v>496</v>
      </c>
      <c r="F35" s="882">
        <v>191068.5</v>
      </c>
      <c r="G35" s="882">
        <v>191068.5</v>
      </c>
      <c r="H35" s="882">
        <v>0</v>
      </c>
      <c r="I35" s="877"/>
      <c r="J35" s="877"/>
    </row>
    <row r="36" spans="1:10" ht="12.75" x14ac:dyDescent="0.2">
      <c r="A36" s="880" t="s">
        <v>241</v>
      </c>
      <c r="B36" s="880" t="s">
        <v>495</v>
      </c>
      <c r="C36" s="881" t="s">
        <v>593</v>
      </c>
      <c r="D36" s="881" t="s">
        <v>14</v>
      </c>
      <c r="E36" s="881" t="s">
        <v>496</v>
      </c>
      <c r="F36" s="882">
        <v>1662000</v>
      </c>
      <c r="G36" s="882">
        <v>1662000</v>
      </c>
      <c r="H36" s="882">
        <v>0</v>
      </c>
      <c r="I36" s="877"/>
      <c r="J36" s="877"/>
    </row>
    <row r="37" spans="1:10" ht="12.75" x14ac:dyDescent="0.2">
      <c r="A37" s="880" t="s">
        <v>241</v>
      </c>
      <c r="B37" s="880" t="s">
        <v>495</v>
      </c>
      <c r="C37" s="881" t="s">
        <v>594</v>
      </c>
      <c r="D37" s="881" t="s">
        <v>14</v>
      </c>
      <c r="E37" s="881" t="s">
        <v>452</v>
      </c>
      <c r="F37" s="882">
        <v>2361116.7200000002</v>
      </c>
      <c r="G37" s="882">
        <v>2361116.7200000002</v>
      </c>
      <c r="H37" s="882">
        <v>0</v>
      </c>
      <c r="I37" s="877"/>
      <c r="J37" s="877"/>
    </row>
    <row r="38" spans="1:10" ht="12.75" x14ac:dyDescent="0.2">
      <c r="A38" s="880" t="s">
        <v>241</v>
      </c>
      <c r="B38" s="880" t="s">
        <v>495</v>
      </c>
      <c r="C38" s="881" t="s">
        <v>594</v>
      </c>
      <c r="D38" s="881" t="s">
        <v>16</v>
      </c>
      <c r="E38" s="881" t="s">
        <v>452</v>
      </c>
      <c r="F38" s="882">
        <v>10065813.460000001</v>
      </c>
      <c r="G38" s="882">
        <v>10065813.460000001</v>
      </c>
      <c r="H38" s="882">
        <v>0</v>
      </c>
      <c r="I38" s="877"/>
      <c r="J38" s="877"/>
    </row>
    <row r="39" spans="1:10" ht="12.75" x14ac:dyDescent="0.2">
      <c r="A39" s="880" t="s">
        <v>241</v>
      </c>
      <c r="B39" s="880" t="s">
        <v>495</v>
      </c>
      <c r="C39" s="881" t="s">
        <v>595</v>
      </c>
      <c r="D39" s="881" t="s">
        <v>14</v>
      </c>
      <c r="E39" s="881" t="s">
        <v>453</v>
      </c>
      <c r="F39" s="882">
        <v>6308688.5800000001</v>
      </c>
      <c r="G39" s="882">
        <v>6308688.5800000001</v>
      </c>
      <c r="H39" s="882">
        <v>0</v>
      </c>
      <c r="I39" s="877"/>
      <c r="J39" s="877"/>
    </row>
    <row r="40" spans="1:10" ht="12.75" x14ac:dyDescent="0.2">
      <c r="A40" s="880" t="s">
        <v>241</v>
      </c>
      <c r="B40" s="880" t="s">
        <v>495</v>
      </c>
      <c r="C40" s="881" t="s">
        <v>595</v>
      </c>
      <c r="D40" s="881" t="s">
        <v>16</v>
      </c>
      <c r="E40" s="881" t="s">
        <v>453</v>
      </c>
      <c r="F40" s="882">
        <v>15445409.970000001</v>
      </c>
      <c r="G40" s="882">
        <v>15445409.970000001</v>
      </c>
      <c r="H40" s="882">
        <v>0</v>
      </c>
      <c r="I40" s="877"/>
      <c r="J40" s="877"/>
    </row>
    <row r="41" spans="1:10" ht="12.75" x14ac:dyDescent="0.2">
      <c r="A41" s="880" t="s">
        <v>495</v>
      </c>
      <c r="B41" s="880" t="s">
        <v>495</v>
      </c>
      <c r="C41" s="881" t="s">
        <v>626</v>
      </c>
      <c r="D41" s="881" t="s">
        <v>14</v>
      </c>
      <c r="E41" s="881" t="s">
        <v>496</v>
      </c>
      <c r="F41" s="882">
        <v>25373759</v>
      </c>
      <c r="G41" s="882">
        <v>25373759</v>
      </c>
      <c r="H41" s="882">
        <v>0</v>
      </c>
      <c r="I41" s="877"/>
      <c r="J41" s="877"/>
    </row>
    <row r="42" spans="1:10" ht="12.75" x14ac:dyDescent="0.2">
      <c r="A42" s="880" t="s">
        <v>508</v>
      </c>
      <c r="B42" s="880" t="s">
        <v>509</v>
      </c>
      <c r="C42" s="881" t="s">
        <v>510</v>
      </c>
      <c r="D42" s="881" t="s">
        <v>63</v>
      </c>
      <c r="E42" s="881" t="s">
        <v>496</v>
      </c>
      <c r="F42" s="882">
        <v>71500000</v>
      </c>
      <c r="G42" s="882">
        <v>71065000</v>
      </c>
      <c r="H42" s="882">
        <v>435000</v>
      </c>
      <c r="I42" s="877"/>
      <c r="J42" s="877"/>
    </row>
    <row r="43" spans="1:10" ht="12.75" x14ac:dyDescent="0.2">
      <c r="A43" s="880" t="s">
        <v>508</v>
      </c>
      <c r="B43" s="880" t="s">
        <v>509</v>
      </c>
      <c r="C43" s="881" t="s">
        <v>511</v>
      </c>
      <c r="D43" s="881" t="s">
        <v>63</v>
      </c>
      <c r="E43" s="881" t="s">
        <v>496</v>
      </c>
      <c r="F43" s="882">
        <v>338900</v>
      </c>
      <c r="G43" s="882">
        <v>338900</v>
      </c>
      <c r="H43" s="882">
        <v>0</v>
      </c>
      <c r="I43" s="877"/>
      <c r="J43" s="877"/>
    </row>
    <row r="44" spans="1:10" ht="12.75" x14ac:dyDescent="0.2">
      <c r="A44" s="880" t="s">
        <v>508</v>
      </c>
      <c r="B44" s="880" t="s">
        <v>509</v>
      </c>
      <c r="C44" s="881" t="s">
        <v>534</v>
      </c>
      <c r="D44" s="881" t="s">
        <v>63</v>
      </c>
      <c r="E44" s="881" t="s">
        <v>496</v>
      </c>
      <c r="F44" s="882">
        <v>262227820.5</v>
      </c>
      <c r="G44" s="882">
        <v>262227820.5</v>
      </c>
      <c r="H44" s="882">
        <v>0</v>
      </c>
      <c r="I44" s="877"/>
      <c r="J44" s="877"/>
    </row>
    <row r="45" spans="1:10" ht="12.75" x14ac:dyDescent="0.2">
      <c r="A45" s="880" t="s">
        <v>508</v>
      </c>
      <c r="B45" s="880" t="s">
        <v>509</v>
      </c>
      <c r="C45" s="881" t="s">
        <v>596</v>
      </c>
      <c r="D45" s="881" t="s">
        <v>63</v>
      </c>
      <c r="E45" s="881" t="s">
        <v>454</v>
      </c>
      <c r="F45" s="882">
        <v>3293100</v>
      </c>
      <c r="G45" s="882">
        <v>3293100</v>
      </c>
      <c r="H45" s="882">
        <v>0</v>
      </c>
      <c r="I45" s="877"/>
      <c r="J45" s="877"/>
    </row>
    <row r="46" spans="1:10" ht="12.75" x14ac:dyDescent="0.2">
      <c r="A46" s="880" t="s">
        <v>508</v>
      </c>
      <c r="B46" s="880" t="s">
        <v>509</v>
      </c>
      <c r="C46" s="881" t="s">
        <v>596</v>
      </c>
      <c r="D46" s="881" t="s">
        <v>64</v>
      </c>
      <c r="E46" s="881" t="s">
        <v>454</v>
      </c>
      <c r="F46" s="882">
        <v>9318700</v>
      </c>
      <c r="G46" s="882">
        <v>9318700</v>
      </c>
      <c r="H46" s="882">
        <v>0</v>
      </c>
      <c r="I46" s="877"/>
      <c r="J46" s="877"/>
    </row>
    <row r="47" spans="1:10" ht="12.75" x14ac:dyDescent="0.2">
      <c r="A47" s="880" t="s">
        <v>598</v>
      </c>
      <c r="B47" s="880" t="s">
        <v>509</v>
      </c>
      <c r="C47" s="881" t="s">
        <v>599</v>
      </c>
      <c r="D47" s="881" t="s">
        <v>63</v>
      </c>
      <c r="E47" s="881" t="s">
        <v>496</v>
      </c>
      <c r="F47" s="882">
        <v>74826900</v>
      </c>
      <c r="G47" s="882">
        <v>74826900</v>
      </c>
      <c r="H47" s="882">
        <v>0</v>
      </c>
      <c r="I47" s="877"/>
      <c r="J47" s="877"/>
    </row>
    <row r="48" spans="1:10" ht="12.75" x14ac:dyDescent="0.2">
      <c r="A48" s="883" t="s">
        <v>289</v>
      </c>
      <c r="B48" s="884"/>
      <c r="C48" s="885"/>
      <c r="D48" s="885"/>
      <c r="E48" s="885"/>
      <c r="F48" s="886">
        <v>2030363046.6600001</v>
      </c>
      <c r="G48" s="886">
        <v>1832187556.46</v>
      </c>
      <c r="H48" s="886">
        <v>198175490.19999999</v>
      </c>
      <c r="I48" s="877"/>
      <c r="J48" s="877"/>
    </row>
  </sheetData>
  <pageMargins left="0.51181102362204722" right="0.51181102362204722" top="0.74803149606299213" bottom="0.74803149606299213" header="0.31496062992125984" footer="0.31496062992125984"/>
  <pageSetup paperSize="9" scale="9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"/>
  <sheetViews>
    <sheetView topLeftCell="A4" zoomScale="85" zoomScaleNormal="85" workbookViewId="0">
      <selection activeCell="G16" sqref="G16"/>
    </sheetView>
  </sheetViews>
  <sheetFormatPr defaultRowHeight="15.75" x14ac:dyDescent="0.25"/>
  <cols>
    <col min="1" max="1" width="32.28515625" style="363" customWidth="1"/>
    <col min="2" max="2" width="13.42578125" style="363" customWidth="1"/>
    <col min="3" max="3" width="12.42578125" style="363" customWidth="1"/>
    <col min="4" max="4" width="14.7109375" style="363" customWidth="1"/>
    <col min="5" max="5" width="16.28515625" style="363" customWidth="1"/>
    <col min="6" max="6" width="13.7109375" style="363" customWidth="1"/>
    <col min="7" max="7" width="14.7109375" style="363" customWidth="1"/>
    <col min="8" max="9" width="14.85546875" style="363" customWidth="1"/>
    <col min="10" max="10" width="12.5703125" style="363" customWidth="1"/>
    <col min="11" max="11" width="12" style="363" customWidth="1"/>
    <col min="12" max="12" width="11.42578125" style="363" customWidth="1"/>
    <col min="13" max="13" width="13.140625" style="363" customWidth="1"/>
    <col min="14" max="14" width="14.42578125" style="363" customWidth="1"/>
    <col min="15" max="16384" width="9.140625" style="363"/>
  </cols>
  <sheetData>
    <row r="1" spans="1:14" ht="18.75" x14ac:dyDescent="0.3">
      <c r="A1" s="1202" t="s">
        <v>566</v>
      </c>
      <c r="B1" s="1202"/>
      <c r="C1" s="1202"/>
      <c r="D1" s="1202"/>
      <c r="E1" s="1202"/>
      <c r="F1" s="1202"/>
      <c r="G1" s="1202"/>
      <c r="H1" s="1202"/>
      <c r="I1" s="1202"/>
      <c r="J1" s="1202"/>
      <c r="K1" s="1202"/>
      <c r="L1" s="1202"/>
      <c r="M1" s="1202"/>
      <c r="N1" s="1202"/>
    </row>
    <row r="4" spans="1:14" s="785" customFormat="1" ht="26.25" customHeight="1" x14ac:dyDescent="0.2">
      <c r="A4" s="1236"/>
      <c r="B4" s="1238" t="s">
        <v>543</v>
      </c>
      <c r="C4" s="1238" t="s">
        <v>568</v>
      </c>
      <c r="D4" s="1240" t="s">
        <v>535</v>
      </c>
      <c r="E4" s="1240"/>
      <c r="F4" s="1240"/>
      <c r="G4" s="1240"/>
      <c r="H4" s="1240"/>
      <c r="I4" s="1240"/>
      <c r="J4" s="1240"/>
      <c r="K4" s="1240"/>
      <c r="L4" s="1240"/>
      <c r="M4" s="1240"/>
      <c r="N4" s="1240"/>
    </row>
    <row r="5" spans="1:14" s="785" customFormat="1" ht="169.5" customHeight="1" x14ac:dyDescent="0.2">
      <c r="A5" s="1237"/>
      <c r="B5" s="1239"/>
      <c r="C5" s="1239"/>
      <c r="D5" s="387" t="s">
        <v>541</v>
      </c>
      <c r="E5" s="387" t="s">
        <v>537</v>
      </c>
      <c r="F5" s="387" t="s">
        <v>536</v>
      </c>
      <c r="G5" s="387" t="s">
        <v>538</v>
      </c>
      <c r="H5" s="387" t="s">
        <v>539</v>
      </c>
      <c r="I5" s="387" t="s">
        <v>540</v>
      </c>
      <c r="J5" s="387" t="s">
        <v>542</v>
      </c>
      <c r="K5" s="387" t="s">
        <v>544</v>
      </c>
      <c r="L5" s="387" t="s">
        <v>553</v>
      </c>
      <c r="M5" s="387" t="s">
        <v>554</v>
      </c>
      <c r="N5" s="387" t="s">
        <v>574</v>
      </c>
    </row>
    <row r="6" spans="1:14" x14ac:dyDescent="0.25">
      <c r="A6" s="786" t="s">
        <v>567</v>
      </c>
      <c r="B6" s="786"/>
      <c r="C6" s="787"/>
      <c r="D6" s="787"/>
      <c r="E6" s="787"/>
      <c r="F6" s="787"/>
      <c r="G6" s="787"/>
      <c r="H6" s="787"/>
      <c r="I6" s="787"/>
      <c r="J6" s="787"/>
      <c r="K6" s="787"/>
      <c r="L6" s="787"/>
      <c r="M6" s="787"/>
      <c r="N6" s="787"/>
    </row>
    <row r="7" spans="1:14" ht="78.75" x14ac:dyDescent="0.25">
      <c r="A7" s="583" t="s">
        <v>93</v>
      </c>
      <c r="B7" s="790" t="s">
        <v>550</v>
      </c>
      <c r="C7" s="7" t="s">
        <v>533</v>
      </c>
      <c r="D7" s="791" t="s">
        <v>545</v>
      </c>
      <c r="E7" s="791" t="s">
        <v>546</v>
      </c>
      <c r="F7" s="791" t="s">
        <v>547</v>
      </c>
      <c r="G7" s="791" t="s">
        <v>547</v>
      </c>
      <c r="H7" s="791" t="s">
        <v>548</v>
      </c>
      <c r="I7" s="791" t="s">
        <v>549</v>
      </c>
      <c r="J7" s="791" t="s">
        <v>551</v>
      </c>
      <c r="K7" s="791" t="s">
        <v>551</v>
      </c>
      <c r="L7" s="791" t="s">
        <v>552</v>
      </c>
      <c r="M7" s="791" t="s">
        <v>555</v>
      </c>
      <c r="N7" s="791" t="s">
        <v>556</v>
      </c>
    </row>
    <row r="8" spans="1:14" ht="63" x14ac:dyDescent="0.25">
      <c r="A8" s="784" t="s">
        <v>94</v>
      </c>
      <c r="B8" s="790">
        <v>106</v>
      </c>
      <c r="C8" s="7" t="s">
        <v>533</v>
      </c>
      <c r="D8" s="791" t="s">
        <v>545</v>
      </c>
      <c r="E8" s="791" t="s">
        <v>546</v>
      </c>
      <c r="F8" s="791" t="s">
        <v>547</v>
      </c>
      <c r="G8" s="791" t="s">
        <v>547</v>
      </c>
      <c r="H8" s="791" t="s">
        <v>548</v>
      </c>
      <c r="I8" s="791" t="s">
        <v>549</v>
      </c>
      <c r="J8" s="791" t="s">
        <v>551</v>
      </c>
      <c r="K8" s="791" t="s">
        <v>551</v>
      </c>
      <c r="L8" s="791" t="s">
        <v>552</v>
      </c>
      <c r="M8" s="791" t="s">
        <v>555</v>
      </c>
      <c r="N8" s="791" t="s">
        <v>556</v>
      </c>
    </row>
    <row r="9" spans="1:14" ht="126" x14ac:dyDescent="0.25">
      <c r="A9" s="784" t="s">
        <v>570</v>
      </c>
      <c r="B9" s="790">
        <v>430</v>
      </c>
      <c r="C9" s="7" t="s">
        <v>512</v>
      </c>
      <c r="D9" s="791" t="s">
        <v>557</v>
      </c>
      <c r="E9" s="791" t="s">
        <v>558</v>
      </c>
      <c r="F9" s="791" t="s">
        <v>559</v>
      </c>
      <c r="G9" s="791" t="s">
        <v>560</v>
      </c>
      <c r="H9" s="791" t="s">
        <v>561</v>
      </c>
      <c r="I9" s="791" t="s">
        <v>563</v>
      </c>
      <c r="J9" s="791" t="s">
        <v>562</v>
      </c>
      <c r="K9" s="791" t="s">
        <v>564</v>
      </c>
      <c r="L9" s="791" t="s">
        <v>545</v>
      </c>
      <c r="M9" s="791" t="s">
        <v>565</v>
      </c>
      <c r="N9" s="791" t="s">
        <v>549</v>
      </c>
    </row>
    <row r="10" spans="1:14" x14ac:dyDescent="0.25">
      <c r="A10" s="787"/>
      <c r="B10" s="787"/>
      <c r="C10" s="787"/>
      <c r="D10" s="788"/>
      <c r="E10" s="788"/>
      <c r="F10" s="788"/>
      <c r="G10" s="788"/>
      <c r="H10" s="788"/>
      <c r="I10" s="788"/>
      <c r="J10" s="788"/>
      <c r="K10" s="788"/>
      <c r="L10" s="787"/>
      <c r="M10" s="787"/>
      <c r="N10" s="787"/>
    </row>
    <row r="11" spans="1:14" x14ac:dyDescent="0.25">
      <c r="A11" s="786" t="s">
        <v>573</v>
      </c>
      <c r="B11" s="787"/>
      <c r="C11" s="787"/>
      <c r="D11" s="788"/>
      <c r="E11" s="788"/>
      <c r="F11" s="788"/>
      <c r="G11" s="788"/>
      <c r="H11" s="788"/>
      <c r="I11" s="788"/>
      <c r="J11" s="788"/>
      <c r="K11" s="788"/>
      <c r="L11" s="787"/>
      <c r="M11" s="787"/>
      <c r="N11" s="787"/>
    </row>
    <row r="12" spans="1:14" ht="58.5" customHeight="1" x14ac:dyDescent="0.25">
      <c r="A12" s="1232" t="s">
        <v>581</v>
      </c>
      <c r="B12" s="1233">
        <v>19</v>
      </c>
      <c r="C12" s="784" t="s">
        <v>569</v>
      </c>
      <c r="D12" s="1235" t="s">
        <v>571</v>
      </c>
      <c r="E12" s="1235" t="s">
        <v>572</v>
      </c>
      <c r="F12" s="791" t="s">
        <v>385</v>
      </c>
      <c r="G12" s="791" t="s">
        <v>385</v>
      </c>
      <c r="H12" s="789" t="s">
        <v>577</v>
      </c>
      <c r="I12" s="789" t="s">
        <v>575</v>
      </c>
      <c r="J12" s="791" t="s">
        <v>385</v>
      </c>
      <c r="K12" s="791"/>
      <c r="L12" s="791"/>
      <c r="M12" s="791"/>
      <c r="N12" s="791"/>
    </row>
    <row r="13" spans="1:14" ht="30" customHeight="1" x14ac:dyDescent="0.25">
      <c r="A13" s="1232"/>
      <c r="B13" s="1234"/>
      <c r="C13" s="791" t="s">
        <v>576</v>
      </c>
      <c r="D13" s="1235"/>
      <c r="E13" s="1235"/>
      <c r="F13" s="791" t="s">
        <v>385</v>
      </c>
      <c r="G13" s="791" t="s">
        <v>385</v>
      </c>
      <c r="H13" s="792">
        <v>44641</v>
      </c>
      <c r="I13" s="792">
        <v>44641</v>
      </c>
      <c r="J13" s="791" t="s">
        <v>385</v>
      </c>
      <c r="K13" s="792">
        <v>44642</v>
      </c>
      <c r="L13" s="791" t="s">
        <v>578</v>
      </c>
      <c r="M13" s="791" t="s">
        <v>579</v>
      </c>
      <c r="N13" s="791" t="s">
        <v>580</v>
      </c>
    </row>
  </sheetData>
  <mergeCells count="9">
    <mergeCell ref="A1:N1"/>
    <mergeCell ref="A12:A13"/>
    <mergeCell ref="B12:B13"/>
    <mergeCell ref="D12:D13"/>
    <mergeCell ref="E12:E13"/>
    <mergeCell ref="A4:A5"/>
    <mergeCell ref="C4:C5"/>
    <mergeCell ref="B4:B5"/>
    <mergeCell ref="D4:N4"/>
  </mergeCells>
  <pageMargins left="0.11811023622047245" right="0.11811023622047245" top="0.74803149606299213" bottom="0.74803149606299213" header="0.31496062992125984" footer="0.31496062992125984"/>
  <pageSetup paperSize="9" scale="7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14</vt:i4>
      </vt:variant>
    </vt:vector>
  </HeadingPairs>
  <TitlesOfParts>
    <vt:vector size="23" baseType="lpstr">
      <vt:lpstr>край</vt:lpstr>
      <vt:lpstr>Бюдж роспись КБ</vt:lpstr>
      <vt:lpstr>Роспись фед</vt:lpstr>
      <vt:lpstr>доведение ФБ</vt:lpstr>
      <vt:lpstr>КБ+ФБ по соглашению</vt:lpstr>
      <vt:lpstr>показ результ Соглашение МСХ</vt:lpstr>
      <vt:lpstr>доведение ФБ для ВКС</vt:lpstr>
      <vt:lpstr>Лист3</vt:lpstr>
      <vt:lpstr>Лист1</vt:lpstr>
      <vt:lpstr>'Бюдж роспись КБ'!Заголовки_для_печати</vt:lpstr>
      <vt:lpstr>'доведение ФБ'!Заголовки_для_печати</vt:lpstr>
      <vt:lpstr>'доведение ФБ для ВКС'!Заголовки_для_печати</vt:lpstr>
      <vt:lpstr>'КБ+ФБ по соглашению'!Заголовки_для_печати</vt:lpstr>
      <vt:lpstr>край!Заголовки_для_печати</vt:lpstr>
      <vt:lpstr>'показ результ Соглашение МСХ'!Заголовки_для_печати</vt:lpstr>
      <vt:lpstr>'Роспись фед'!Заголовки_для_печати</vt:lpstr>
      <vt:lpstr>'Бюдж роспись КБ'!Область_печати</vt:lpstr>
      <vt:lpstr>'доведение ФБ'!Область_печати</vt:lpstr>
      <vt:lpstr>'доведение ФБ для ВКС'!Область_печати</vt:lpstr>
      <vt:lpstr>'КБ+ФБ по соглашению'!Область_печати</vt:lpstr>
      <vt:lpstr>край!Область_печати</vt:lpstr>
      <vt:lpstr>'показ результ Соглашение МСХ'!Область_печати</vt:lpstr>
      <vt:lpstr>'Роспись фед'!Область_печати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shkolina</dc:creator>
  <cp:lastModifiedBy>Ольга В. Вильнер</cp:lastModifiedBy>
  <cp:lastPrinted>2022-07-07T10:36:02Z</cp:lastPrinted>
  <dcterms:created xsi:type="dcterms:W3CDTF">2020-11-20T05:51:51Z</dcterms:created>
  <dcterms:modified xsi:type="dcterms:W3CDTF">2022-07-07T10:36:09Z</dcterms:modified>
</cp:coreProperties>
</file>