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tabRatio="599"/>
  </bookViews>
  <sheets>
    <sheet name="Реестр" sheetId="1" r:id="rId1"/>
  </sheets>
  <externalReferences>
    <externalReference r:id="rId2"/>
    <externalReference r:id="rId3"/>
    <externalReference r:id="rId4"/>
  </externalReferences>
  <definedNames>
    <definedName name="_xlnm._FilterDatabase" localSheetId="0" hidden="1">Реестр!$A$5:$BQ$875</definedName>
    <definedName name="Form">[1]Списки!$A$1:$A$5</definedName>
    <definedName name="_xlnm.Print_Area" localSheetId="0">Реестр!$A$1:$BQ$878</definedName>
    <definedName name="оп">[2]Лист2!$A$1:$A$7</definedName>
    <definedName name="ОПФ">[3]Лист2!$A$1:$A$6</definedName>
  </definedNames>
  <calcPr calcId="145621"/>
</workbook>
</file>

<file path=xl/calcChain.xml><?xml version="1.0" encoding="utf-8"?>
<calcChain xmlns="http://schemas.openxmlformats.org/spreadsheetml/2006/main">
  <c r="F6" i="1" l="1"/>
  <c r="F242" i="1" l="1"/>
  <c r="F74" i="1"/>
  <c r="BM876" i="1"/>
  <c r="BM860" i="1"/>
  <c r="BM839" i="1"/>
  <c r="BM822" i="1"/>
  <c r="BM765" i="1"/>
  <c r="BM759" i="1"/>
  <c r="BM738" i="1"/>
  <c r="BM708" i="1"/>
  <c r="BM683" i="1"/>
  <c r="BM657" i="1"/>
  <c r="BM649" i="1"/>
  <c r="BM639" i="1"/>
  <c r="BM574" i="1"/>
  <c r="BM563" i="1"/>
  <c r="BM553" i="1"/>
  <c r="BM485" i="1"/>
  <c r="BM465" i="1"/>
  <c r="BM424" i="1"/>
  <c r="BM419" i="1"/>
  <c r="BM417" i="1"/>
  <c r="BM401" i="1"/>
  <c r="BM373" i="1"/>
  <c r="BM330" i="1"/>
  <c r="BM313" i="1"/>
  <c r="BM281" i="1"/>
  <c r="BM269" i="1"/>
  <c r="BM264" i="1"/>
  <c r="BM237" i="1"/>
  <c r="BM194" i="1"/>
  <c r="BM188" i="1"/>
  <c r="BM175" i="1"/>
  <c r="BM155" i="1"/>
  <c r="BM140" i="1"/>
  <c r="BM100" i="1"/>
  <c r="BM68" i="1"/>
  <c r="BM52" i="1"/>
  <c r="G17" i="1"/>
  <c r="G18" i="1"/>
  <c r="G19" i="1"/>
  <c r="G20" i="1"/>
  <c r="G21" i="1"/>
  <c r="G22" i="1"/>
  <c r="G26" i="1"/>
  <c r="G27" i="1"/>
  <c r="G29" i="1"/>
  <c r="G30" i="1"/>
  <c r="G31" i="1"/>
  <c r="G32" i="1"/>
  <c r="G33" i="1"/>
  <c r="G34" i="1"/>
  <c r="G35" i="1"/>
  <c r="G36" i="1"/>
  <c r="G37" i="1"/>
  <c r="G42" i="1"/>
  <c r="G43" i="1"/>
  <c r="G44" i="1"/>
  <c r="G45" i="1"/>
  <c r="G47" i="1"/>
  <c r="G48" i="1"/>
  <c r="G49" i="1"/>
  <c r="G50" i="1"/>
  <c r="G51" i="1"/>
  <c r="G53" i="1"/>
  <c r="G54" i="1"/>
  <c r="G55" i="1"/>
  <c r="G56" i="1"/>
  <c r="G57" i="1"/>
  <c r="G58" i="1"/>
  <c r="G59" i="1"/>
  <c r="G60" i="1"/>
  <c r="G61" i="1"/>
  <c r="G62" i="1"/>
  <c r="G64" i="1"/>
  <c r="G65" i="1"/>
  <c r="G67" i="1"/>
  <c r="G69" i="1"/>
  <c r="G70" i="1"/>
  <c r="G71" i="1"/>
  <c r="G72" i="1"/>
  <c r="G73" i="1"/>
  <c r="G74" i="1"/>
  <c r="G75" i="1"/>
  <c r="G76" i="1"/>
  <c r="G77" i="1"/>
  <c r="G78" i="1"/>
  <c r="G80" i="1"/>
  <c r="G82" i="1"/>
  <c r="G83" i="1"/>
  <c r="G84" i="1"/>
  <c r="G85" i="1"/>
  <c r="G86" i="1"/>
  <c r="G87" i="1"/>
  <c r="G88" i="1"/>
  <c r="G90" i="1"/>
  <c r="G91" i="1"/>
  <c r="G92" i="1"/>
  <c r="G93" i="1"/>
  <c r="G94" i="1"/>
  <c r="G96" i="1"/>
  <c r="G97" i="1"/>
  <c r="G98" i="1"/>
  <c r="G99" i="1"/>
  <c r="G101" i="1"/>
  <c r="G103" i="1"/>
  <c r="G104" i="1"/>
  <c r="G105" i="1"/>
  <c r="G106" i="1"/>
  <c r="G107" i="1"/>
  <c r="G108" i="1"/>
  <c r="G109" i="1"/>
  <c r="G110" i="1"/>
  <c r="G111" i="1"/>
  <c r="G113" i="1"/>
  <c r="G114" i="1"/>
  <c r="G115" i="1"/>
  <c r="G116" i="1"/>
  <c r="G117" i="1"/>
  <c r="G118" i="1"/>
  <c r="G119" i="1"/>
  <c r="G120" i="1"/>
  <c r="G121" i="1"/>
  <c r="G122" i="1"/>
  <c r="G123" i="1"/>
  <c r="G124" i="1"/>
  <c r="G126" i="1"/>
  <c r="G127" i="1"/>
  <c r="G128" i="1"/>
  <c r="G129" i="1"/>
  <c r="G131" i="1"/>
  <c r="G132" i="1"/>
  <c r="G133" i="1"/>
  <c r="G134" i="1"/>
  <c r="G136" i="1"/>
  <c r="G138" i="1"/>
  <c r="G139" i="1"/>
  <c r="G141" i="1"/>
  <c r="G142" i="1"/>
  <c r="G143" i="1"/>
  <c r="G144" i="1"/>
  <c r="G145" i="1"/>
  <c r="G146" i="1"/>
  <c r="G147" i="1"/>
  <c r="G148" i="1"/>
  <c r="G149" i="1"/>
  <c r="G150" i="1"/>
  <c r="G151" i="1"/>
  <c r="G152" i="1"/>
  <c r="G153" i="1"/>
  <c r="G154" i="1"/>
  <c r="G156" i="1"/>
  <c r="G157" i="1"/>
  <c r="G159" i="1"/>
  <c r="G161" i="1"/>
  <c r="G162" i="1"/>
  <c r="G164" i="1"/>
  <c r="G165" i="1"/>
  <c r="G166" i="1"/>
  <c r="G167" i="1"/>
  <c r="G168" i="1"/>
  <c r="G169" i="1"/>
  <c r="G170" i="1"/>
  <c r="G173" i="1"/>
  <c r="G174" i="1"/>
  <c r="G176" i="1"/>
  <c r="G177" i="1"/>
  <c r="G178" i="1"/>
  <c r="G179" i="1"/>
  <c r="G180" i="1"/>
  <c r="G181" i="1"/>
  <c r="G182" i="1"/>
  <c r="G183" i="1"/>
  <c r="G184" i="1"/>
  <c r="G186" i="1"/>
  <c r="G187" i="1"/>
  <c r="G189" i="1"/>
  <c r="G190" i="1"/>
  <c r="G191" i="1"/>
  <c r="G192" i="1"/>
  <c r="G193"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5" i="1"/>
  <c r="G226" i="1"/>
  <c r="G227" i="1"/>
  <c r="G228" i="1"/>
  <c r="G229" i="1"/>
  <c r="G230" i="1"/>
  <c r="G231" i="1"/>
  <c r="G232" i="1"/>
  <c r="G234" i="1"/>
  <c r="G236" i="1"/>
  <c r="G238" i="1"/>
  <c r="G239" i="1"/>
  <c r="G240" i="1"/>
  <c r="G241" i="1"/>
  <c r="G243" i="1"/>
  <c r="G244" i="1"/>
  <c r="G245" i="1"/>
  <c r="G246" i="1"/>
  <c r="G247" i="1"/>
  <c r="G248" i="1"/>
  <c r="G249" i="1"/>
  <c r="G250" i="1"/>
  <c r="G251" i="1"/>
  <c r="G252" i="1"/>
  <c r="G253" i="1"/>
  <c r="G254" i="1"/>
  <c r="G255" i="1"/>
  <c r="G256" i="1"/>
  <c r="G257" i="1"/>
  <c r="G259" i="1"/>
  <c r="G260" i="1"/>
  <c r="G261" i="1"/>
  <c r="G262" i="1"/>
  <c r="G263" i="1"/>
  <c r="G265" i="1"/>
  <c r="G266" i="1"/>
  <c r="G267" i="1"/>
  <c r="G268" i="1"/>
  <c r="G270" i="1"/>
  <c r="G271" i="1"/>
  <c r="G272" i="1"/>
  <c r="G273" i="1"/>
  <c r="G275" i="1"/>
  <c r="G276" i="1"/>
  <c r="G277" i="1"/>
  <c r="G278" i="1"/>
  <c r="G279" i="1"/>
  <c r="G280" i="1"/>
  <c r="G282" i="1"/>
  <c r="G283" i="1"/>
  <c r="G284" i="1"/>
  <c r="G285" i="1"/>
  <c r="G286" i="1"/>
  <c r="G287" i="1"/>
  <c r="G288" i="1"/>
  <c r="G289" i="1"/>
  <c r="G290" i="1"/>
  <c r="G291" i="1"/>
  <c r="G292" i="1"/>
  <c r="G293" i="1"/>
  <c r="G294" i="1"/>
  <c r="G295" i="1"/>
  <c r="G296" i="1"/>
  <c r="G297" i="1"/>
  <c r="G298" i="1"/>
  <c r="G299" i="1"/>
  <c r="G300" i="1"/>
  <c r="G304" i="1"/>
  <c r="G306" i="1"/>
  <c r="G308" i="1"/>
  <c r="G310" i="1"/>
  <c r="G311" i="1"/>
  <c r="G314" i="1"/>
  <c r="G315" i="1"/>
  <c r="G316" i="1"/>
  <c r="G317" i="1"/>
  <c r="G318" i="1"/>
  <c r="G319" i="1"/>
  <c r="G321" i="1"/>
  <c r="G322" i="1"/>
  <c r="G323" i="1"/>
  <c r="G324" i="1"/>
  <c r="G326" i="1"/>
  <c r="G327" i="1"/>
  <c r="G328" i="1"/>
  <c r="G329" i="1"/>
  <c r="G331" i="1"/>
  <c r="G332" i="1"/>
  <c r="G333" i="1"/>
  <c r="G334" i="1"/>
  <c r="G335" i="1"/>
  <c r="G336" i="1"/>
  <c r="G337" i="1"/>
  <c r="G338" i="1"/>
  <c r="G339" i="1"/>
  <c r="G340" i="1"/>
  <c r="G341" i="1"/>
  <c r="G343" i="1"/>
  <c r="G344" i="1"/>
  <c r="G345" i="1"/>
  <c r="G346" i="1"/>
  <c r="G347" i="1"/>
  <c r="G348" i="1"/>
  <c r="G350" i="1"/>
  <c r="G351" i="1"/>
  <c r="G352" i="1"/>
  <c r="G353" i="1"/>
  <c r="G354" i="1"/>
  <c r="G355" i="1"/>
  <c r="G356" i="1"/>
  <c r="G357" i="1"/>
  <c r="G358" i="1"/>
  <c r="G359" i="1"/>
  <c r="G360" i="1"/>
  <c r="G361" i="1"/>
  <c r="G362" i="1"/>
  <c r="G364" i="1"/>
  <c r="G366" i="1"/>
  <c r="G368" i="1"/>
  <c r="G369" i="1"/>
  <c r="G370" i="1"/>
  <c r="G371" i="1"/>
  <c r="G372" i="1"/>
  <c r="G375" i="1"/>
  <c r="G376" i="1"/>
  <c r="G377" i="1"/>
  <c r="G378" i="1"/>
  <c r="G379" i="1"/>
  <c r="G380" i="1"/>
  <c r="G381" i="1"/>
  <c r="G383" i="1"/>
  <c r="G384" i="1"/>
  <c r="G385" i="1"/>
  <c r="G386" i="1"/>
  <c r="G387" i="1"/>
  <c r="G388" i="1"/>
  <c r="G389" i="1"/>
  <c r="G390" i="1"/>
  <c r="G391" i="1"/>
  <c r="G392" i="1"/>
  <c r="G395" i="1"/>
  <c r="G396" i="1"/>
  <c r="G399" i="1"/>
  <c r="G400" i="1"/>
  <c r="G402" i="1"/>
  <c r="G404" i="1"/>
  <c r="G405" i="1"/>
  <c r="G406" i="1"/>
  <c r="G407" i="1"/>
  <c r="G408" i="1"/>
  <c r="G409" i="1"/>
  <c r="G410" i="1"/>
  <c r="G411" i="1"/>
  <c r="G412" i="1"/>
  <c r="G413" i="1"/>
  <c r="G416" i="1"/>
  <c r="G418" i="1"/>
  <c r="G419" i="1" s="1"/>
  <c r="G420" i="1"/>
  <c r="G421" i="1"/>
  <c r="G422" i="1"/>
  <c r="G423" i="1"/>
  <c r="G425" i="1"/>
  <c r="G426" i="1"/>
  <c r="G427" i="1"/>
  <c r="G428" i="1"/>
  <c r="G429" i="1"/>
  <c r="G430" i="1"/>
  <c r="G431" i="1"/>
  <c r="G432" i="1"/>
  <c r="G433" i="1"/>
  <c r="G434" i="1"/>
  <c r="G435" i="1"/>
  <c r="G436" i="1"/>
  <c r="G438" i="1"/>
  <c r="G439" i="1"/>
  <c r="G440" i="1"/>
  <c r="G441" i="1"/>
  <c r="G442" i="1"/>
  <c r="G443" i="1"/>
  <c r="G444" i="1"/>
  <c r="G445" i="1"/>
  <c r="G446" i="1"/>
  <c r="G447" i="1"/>
  <c r="G448" i="1"/>
  <c r="G450" i="1"/>
  <c r="G458" i="1"/>
  <c r="G460" i="1"/>
  <c r="G466" i="1"/>
  <c r="G467" i="1"/>
  <c r="G468" i="1"/>
  <c r="G469" i="1"/>
  <c r="G470" i="1"/>
  <c r="G471" i="1"/>
  <c r="G472" i="1"/>
  <c r="G474" i="1"/>
  <c r="G475" i="1"/>
  <c r="G480" i="1"/>
  <c r="G482" i="1"/>
  <c r="G486" i="1"/>
  <c r="G487" i="1"/>
  <c r="G488" i="1"/>
  <c r="G242" i="1"/>
  <c r="E242" i="1" s="1"/>
  <c r="G489" i="1"/>
  <c r="G490" i="1"/>
  <c r="G491" i="1"/>
  <c r="G492" i="1"/>
  <c r="G493" i="1"/>
  <c r="G494" i="1"/>
  <c r="G495" i="1"/>
  <c r="G498" i="1"/>
  <c r="G499"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9" i="1"/>
  <c r="G541" i="1"/>
  <c r="G542" i="1"/>
  <c r="G543" i="1"/>
  <c r="G544" i="1"/>
  <c r="G546" i="1"/>
  <c r="G547" i="1"/>
  <c r="G548" i="1"/>
  <c r="G549" i="1"/>
  <c r="G550" i="1"/>
  <c r="G552" i="1"/>
  <c r="G554" i="1"/>
  <c r="G555" i="1"/>
  <c r="G556" i="1"/>
  <c r="G557" i="1"/>
  <c r="G559" i="1"/>
  <c r="G561" i="1"/>
  <c r="G562" i="1"/>
  <c r="G564" i="1"/>
  <c r="G565" i="1"/>
  <c r="G566" i="1"/>
  <c r="G567" i="1"/>
  <c r="G569" i="1"/>
  <c r="G570" i="1"/>
  <c r="G571" i="1"/>
  <c r="G572" i="1"/>
  <c r="G573" i="1"/>
  <c r="G575" i="1"/>
  <c r="G576" i="1"/>
  <c r="G577" i="1"/>
  <c r="G579" i="1"/>
  <c r="G580" i="1"/>
  <c r="G581" i="1"/>
  <c r="G582" i="1"/>
  <c r="G583" i="1"/>
  <c r="G585" i="1"/>
  <c r="G586" i="1"/>
  <c r="G587" i="1"/>
  <c r="G588" i="1"/>
  <c r="G589" i="1"/>
  <c r="G590" i="1"/>
  <c r="G591" i="1"/>
  <c r="G592" i="1"/>
  <c r="G593" i="1"/>
  <c r="G594" i="1"/>
  <c r="G595" i="1"/>
  <c r="G597" i="1"/>
  <c r="G598" i="1"/>
  <c r="G599" i="1"/>
  <c r="G600" i="1"/>
  <c r="G601" i="1"/>
  <c r="G603" i="1"/>
  <c r="G604" i="1"/>
  <c r="G605" i="1"/>
  <c r="G606" i="1"/>
  <c r="G607" i="1"/>
  <c r="G608" i="1"/>
  <c r="G609" i="1"/>
  <c r="G610" i="1"/>
  <c r="G611" i="1"/>
  <c r="G612" i="1"/>
  <c r="G613" i="1"/>
  <c r="G614" i="1"/>
  <c r="G615" i="1"/>
  <c r="G616" i="1"/>
  <c r="G617" i="1"/>
  <c r="G618" i="1"/>
  <c r="G622" i="1"/>
  <c r="G623" i="1"/>
  <c r="G624" i="1"/>
  <c r="G625" i="1"/>
  <c r="G626" i="1"/>
  <c r="G627" i="1"/>
  <c r="G629" i="1"/>
  <c r="G631" i="1"/>
  <c r="G632" i="1"/>
  <c r="G634" i="1"/>
  <c r="G635" i="1"/>
  <c r="G636" i="1"/>
  <c r="G637" i="1"/>
  <c r="G638" i="1"/>
  <c r="G640" i="1"/>
  <c r="G642" i="1"/>
  <c r="G643" i="1"/>
  <c r="G644" i="1"/>
  <c r="G645" i="1"/>
  <c r="G646" i="1"/>
  <c r="G647" i="1"/>
  <c r="G650" i="1"/>
  <c r="G651" i="1"/>
  <c r="G652" i="1"/>
  <c r="G653" i="1"/>
  <c r="G655" i="1"/>
  <c r="G656" i="1"/>
  <c r="G658" i="1"/>
  <c r="G659" i="1"/>
  <c r="G660" i="1"/>
  <c r="G661" i="1"/>
  <c r="G662" i="1"/>
  <c r="G663" i="1"/>
  <c r="G664" i="1"/>
  <c r="G665" i="1"/>
  <c r="G666" i="1"/>
  <c r="G667" i="1"/>
  <c r="G668" i="1"/>
  <c r="G669" i="1"/>
  <c r="G670" i="1"/>
  <c r="G671" i="1"/>
  <c r="G672" i="1"/>
  <c r="G673" i="1"/>
  <c r="G674" i="1"/>
  <c r="G677" i="1"/>
  <c r="G678" i="1"/>
  <c r="G679" i="1"/>
  <c r="G681" i="1"/>
  <c r="G684" i="1"/>
  <c r="G685" i="1"/>
  <c r="G686" i="1"/>
  <c r="G687" i="1"/>
  <c r="G688" i="1"/>
  <c r="G689" i="1"/>
  <c r="G690" i="1"/>
  <c r="G691" i="1"/>
  <c r="G692" i="1"/>
  <c r="G693" i="1"/>
  <c r="G694" i="1"/>
  <c r="G695" i="1"/>
  <c r="G696" i="1"/>
  <c r="G697" i="1"/>
  <c r="G698" i="1"/>
  <c r="G699" i="1"/>
  <c r="G700" i="1"/>
  <c r="G701" i="1"/>
  <c r="G703" i="1"/>
  <c r="G704" i="1"/>
  <c r="G706" i="1"/>
  <c r="G709" i="1"/>
  <c r="G710" i="1"/>
  <c r="G711" i="1"/>
  <c r="G712" i="1"/>
  <c r="G713" i="1"/>
  <c r="G714" i="1"/>
  <c r="G716" i="1"/>
  <c r="G718" i="1"/>
  <c r="G719" i="1"/>
  <c r="G720" i="1"/>
  <c r="G721" i="1"/>
  <c r="G722" i="1"/>
  <c r="G723" i="1"/>
  <c r="G724" i="1"/>
  <c r="G725" i="1"/>
  <c r="G726" i="1"/>
  <c r="G727" i="1"/>
  <c r="G728" i="1"/>
  <c r="G729" i="1"/>
  <c r="G730" i="1"/>
  <c r="G731" i="1"/>
  <c r="G734" i="1"/>
  <c r="G735" i="1"/>
  <c r="G736" i="1"/>
  <c r="G737" i="1"/>
  <c r="G739" i="1"/>
  <c r="G740" i="1"/>
  <c r="G741" i="1"/>
  <c r="G742" i="1"/>
  <c r="G743" i="1"/>
  <c r="G744" i="1"/>
  <c r="G745" i="1"/>
  <c r="G746" i="1"/>
  <c r="G747" i="1"/>
  <c r="G748" i="1"/>
  <c r="G749" i="1"/>
  <c r="G750" i="1"/>
  <c r="G751" i="1"/>
  <c r="G752" i="1"/>
  <c r="G753" i="1"/>
  <c r="G754" i="1"/>
  <c r="G755" i="1"/>
  <c r="G757" i="1"/>
  <c r="G758" i="1"/>
  <c r="G761" i="1"/>
  <c r="G762" i="1"/>
  <c r="G766" i="1"/>
  <c r="G767" i="1"/>
  <c r="G768" i="1"/>
  <c r="G769" i="1"/>
  <c r="G770" i="1"/>
  <c r="G771" i="1"/>
  <c r="G772" i="1"/>
  <c r="G773" i="1"/>
  <c r="G774" i="1"/>
  <c r="G775" i="1"/>
  <c r="G776" i="1"/>
  <c r="G778" i="1"/>
  <c r="G780" i="1"/>
  <c r="G781" i="1"/>
  <c r="G782" i="1"/>
  <c r="G783" i="1"/>
  <c r="G784" i="1"/>
  <c r="G785" i="1"/>
  <c r="G786" i="1"/>
  <c r="G787" i="1"/>
  <c r="G789" i="1"/>
  <c r="G790" i="1"/>
  <c r="G793" i="1"/>
  <c r="G795" i="1"/>
  <c r="G796" i="1"/>
  <c r="G797" i="1"/>
  <c r="G798" i="1"/>
  <c r="G799" i="1"/>
  <c r="G800" i="1"/>
  <c r="G801" i="1"/>
  <c r="G802" i="1"/>
  <c r="G803" i="1"/>
  <c r="G804" i="1"/>
  <c r="G805" i="1"/>
  <c r="G807" i="1"/>
  <c r="G810" i="1"/>
  <c r="G811" i="1"/>
  <c r="G812" i="1"/>
  <c r="G817" i="1"/>
  <c r="G819" i="1"/>
  <c r="G820" i="1"/>
  <c r="G821" i="1"/>
  <c r="G823" i="1"/>
  <c r="G825" i="1"/>
  <c r="G826" i="1"/>
  <c r="G827" i="1"/>
  <c r="G828" i="1"/>
  <c r="G829" i="1"/>
  <c r="G830" i="1"/>
  <c r="G833" i="1"/>
  <c r="G834" i="1"/>
  <c r="G835" i="1"/>
  <c r="G837" i="1"/>
  <c r="G838" i="1"/>
  <c r="G840" i="1"/>
  <c r="G841" i="1"/>
  <c r="G842" i="1"/>
  <c r="G843" i="1"/>
  <c r="G844" i="1"/>
  <c r="G845" i="1"/>
  <c r="G847" i="1"/>
  <c r="G848" i="1"/>
  <c r="G849" i="1"/>
  <c r="G850" i="1"/>
  <c r="G851" i="1"/>
  <c r="G852" i="1"/>
  <c r="G853" i="1"/>
  <c r="G854" i="1"/>
  <c r="G855" i="1"/>
  <c r="G857" i="1"/>
  <c r="G858" i="1"/>
  <c r="G859" i="1"/>
  <c r="G861" i="1"/>
  <c r="G862" i="1"/>
  <c r="G864" i="1"/>
  <c r="G865" i="1"/>
  <c r="G866" i="1"/>
  <c r="G867" i="1"/>
  <c r="G868" i="1"/>
  <c r="G869" i="1"/>
  <c r="G870" i="1"/>
  <c r="G871" i="1"/>
  <c r="G872" i="1"/>
  <c r="G873" i="1"/>
  <c r="G874" i="1"/>
  <c r="G875" i="1"/>
  <c r="G7" i="1"/>
  <c r="G8" i="1"/>
  <c r="G9" i="1"/>
  <c r="G10" i="1"/>
  <c r="G11" i="1"/>
  <c r="G12" i="1"/>
  <c r="G13" i="1"/>
  <c r="G14" i="1"/>
  <c r="G15" i="1"/>
  <c r="G6" i="1"/>
  <c r="BM794" i="1"/>
  <c r="BM500" i="1"/>
  <c r="BM367" i="1"/>
  <c r="BQ876" i="1"/>
  <c r="G269" i="1" l="1"/>
  <c r="E74" i="1"/>
  <c r="G155" i="1"/>
  <c r="G424" i="1"/>
  <c r="G373" i="1"/>
  <c r="BM877" i="1"/>
  <c r="G194" i="1"/>
  <c r="F240" i="1"/>
  <c r="AO876" i="1"/>
  <c r="AO860" i="1"/>
  <c r="AO839" i="1"/>
  <c r="AO822" i="1"/>
  <c r="AO794" i="1"/>
  <c r="AO765" i="1"/>
  <c r="AO759" i="1"/>
  <c r="AO738" i="1"/>
  <c r="AO708" i="1"/>
  <c r="AO683" i="1"/>
  <c r="AO657" i="1"/>
  <c r="AO649" i="1"/>
  <c r="AO639" i="1"/>
  <c r="AO574" i="1"/>
  <c r="AO563" i="1"/>
  <c r="AO553" i="1"/>
  <c r="AO500" i="1"/>
  <c r="AO485" i="1"/>
  <c r="AO465" i="1"/>
  <c r="AO424" i="1"/>
  <c r="AO419" i="1"/>
  <c r="AO417" i="1"/>
  <c r="AO401" i="1"/>
  <c r="AO373" i="1"/>
  <c r="AO367" i="1"/>
  <c r="AO330" i="1"/>
  <c r="AO313" i="1"/>
  <c r="AO281" i="1"/>
  <c r="AO269" i="1"/>
  <c r="AO264" i="1"/>
  <c r="AO237" i="1"/>
  <c r="AO194" i="1"/>
  <c r="AO188" i="1"/>
  <c r="AO175" i="1"/>
  <c r="AO155" i="1"/>
  <c r="AO140" i="1"/>
  <c r="AO100" i="1"/>
  <c r="AO68" i="1"/>
  <c r="AO52" i="1"/>
  <c r="E240" i="1" l="1"/>
  <c r="AO877" i="1"/>
  <c r="H639" i="1" l="1"/>
  <c r="I639" i="1"/>
  <c r="J639" i="1"/>
  <c r="K639" i="1"/>
  <c r="N639" i="1"/>
  <c r="Q639" i="1"/>
  <c r="R639" i="1"/>
  <c r="S639" i="1"/>
  <c r="V639" i="1"/>
  <c r="W639" i="1"/>
  <c r="AD639" i="1"/>
  <c r="O639" i="1"/>
  <c r="X639" i="1"/>
  <c r="Y639" i="1"/>
  <c r="Z639" i="1"/>
  <c r="AA639" i="1"/>
  <c r="AB639" i="1"/>
  <c r="AC639" i="1"/>
  <c r="AE639" i="1"/>
  <c r="AF639" i="1"/>
  <c r="P639" i="1"/>
  <c r="T639" i="1"/>
  <c r="U639" i="1"/>
  <c r="AH639" i="1"/>
  <c r="AI639" i="1"/>
  <c r="AJ639" i="1"/>
  <c r="AK639" i="1"/>
  <c r="AL639" i="1"/>
  <c r="AP639" i="1"/>
  <c r="AQ639" i="1"/>
  <c r="AM639" i="1"/>
  <c r="AN639" i="1"/>
  <c r="AR639" i="1"/>
  <c r="AS639" i="1"/>
  <c r="AU639" i="1"/>
  <c r="AV639" i="1"/>
  <c r="AY639" i="1"/>
  <c r="AZ639" i="1"/>
  <c r="BA639" i="1"/>
  <c r="BB639" i="1"/>
  <c r="BC639" i="1"/>
  <c r="BD639" i="1"/>
  <c r="BE639" i="1"/>
  <c r="BF639" i="1"/>
  <c r="BG639" i="1"/>
  <c r="BH639" i="1"/>
  <c r="BI639" i="1"/>
  <c r="AT639" i="1"/>
  <c r="BJ639" i="1"/>
  <c r="BK639" i="1"/>
  <c r="BL639" i="1"/>
  <c r="BN639" i="1"/>
  <c r="BO639" i="1"/>
  <c r="BP639" i="1"/>
  <c r="BQ639" i="1"/>
  <c r="H574" i="1"/>
  <c r="I574" i="1"/>
  <c r="J574" i="1"/>
  <c r="K574" i="1"/>
  <c r="L574" i="1"/>
  <c r="M574" i="1"/>
  <c r="N574" i="1"/>
  <c r="Q574" i="1"/>
  <c r="R574" i="1"/>
  <c r="S574" i="1"/>
  <c r="V574" i="1"/>
  <c r="W574" i="1"/>
  <c r="AD574" i="1"/>
  <c r="O574" i="1"/>
  <c r="X574" i="1"/>
  <c r="Y574" i="1"/>
  <c r="Z574" i="1"/>
  <c r="AA574" i="1"/>
  <c r="AB574" i="1"/>
  <c r="AC574" i="1"/>
  <c r="AE574" i="1"/>
  <c r="AF574" i="1"/>
  <c r="P574" i="1"/>
  <c r="T574" i="1"/>
  <c r="U574" i="1"/>
  <c r="AG574" i="1"/>
  <c r="AH574" i="1"/>
  <c r="AI574" i="1"/>
  <c r="AJ574" i="1"/>
  <c r="AK574" i="1"/>
  <c r="AL574" i="1"/>
  <c r="AP574" i="1"/>
  <c r="AQ574" i="1"/>
  <c r="AM574" i="1"/>
  <c r="AN574" i="1"/>
  <c r="AR574" i="1"/>
  <c r="AS574" i="1"/>
  <c r="AU574" i="1"/>
  <c r="AV574" i="1"/>
  <c r="AW574" i="1"/>
  <c r="AX574" i="1"/>
  <c r="AY574" i="1"/>
  <c r="AZ574" i="1"/>
  <c r="BA574" i="1"/>
  <c r="BB574" i="1"/>
  <c r="BC574" i="1"/>
  <c r="BD574" i="1"/>
  <c r="BE574" i="1"/>
  <c r="BF574" i="1"/>
  <c r="BG574" i="1"/>
  <c r="BH574" i="1"/>
  <c r="BI574" i="1"/>
  <c r="BJ574" i="1"/>
  <c r="BK574" i="1"/>
  <c r="BL574" i="1"/>
  <c r="BN574" i="1"/>
  <c r="BO574" i="1"/>
  <c r="BP574" i="1"/>
  <c r="BQ574" i="1"/>
  <c r="H563" i="1"/>
  <c r="I563" i="1"/>
  <c r="J563" i="1"/>
  <c r="K563" i="1"/>
  <c r="N563" i="1"/>
  <c r="Q563" i="1"/>
  <c r="R563" i="1"/>
  <c r="S563" i="1"/>
  <c r="V563" i="1"/>
  <c r="W563" i="1"/>
  <c r="AD563" i="1"/>
  <c r="O563" i="1"/>
  <c r="X563" i="1"/>
  <c r="Y563" i="1"/>
  <c r="Z563" i="1"/>
  <c r="AA563" i="1"/>
  <c r="AB563" i="1"/>
  <c r="AC563" i="1"/>
  <c r="AE563" i="1"/>
  <c r="AF563" i="1"/>
  <c r="P563" i="1"/>
  <c r="T563" i="1"/>
  <c r="U563" i="1"/>
  <c r="AG563" i="1"/>
  <c r="AH563" i="1"/>
  <c r="AI563" i="1"/>
  <c r="AJ563" i="1"/>
  <c r="AK563" i="1"/>
  <c r="AL563" i="1"/>
  <c r="AP563" i="1"/>
  <c r="AQ563" i="1"/>
  <c r="AM563" i="1"/>
  <c r="AN563" i="1"/>
  <c r="AR563" i="1"/>
  <c r="AS563" i="1"/>
  <c r="AU563" i="1"/>
  <c r="AV563" i="1"/>
  <c r="AY563" i="1"/>
  <c r="AZ563" i="1"/>
  <c r="BA563" i="1"/>
  <c r="BB563" i="1"/>
  <c r="BC563" i="1"/>
  <c r="BD563" i="1"/>
  <c r="BE563" i="1"/>
  <c r="BF563" i="1"/>
  <c r="BG563" i="1"/>
  <c r="BH563" i="1"/>
  <c r="BI563" i="1"/>
  <c r="AT563" i="1"/>
  <c r="BJ563" i="1"/>
  <c r="BK563" i="1"/>
  <c r="BL563" i="1"/>
  <c r="BN563" i="1"/>
  <c r="BO563" i="1"/>
  <c r="BP563" i="1"/>
  <c r="BQ563" i="1"/>
  <c r="H553" i="1"/>
  <c r="I553" i="1"/>
  <c r="J553" i="1"/>
  <c r="K553" i="1"/>
  <c r="N553" i="1"/>
  <c r="Q553" i="1"/>
  <c r="R553" i="1"/>
  <c r="V553" i="1"/>
  <c r="W553" i="1"/>
  <c r="AD553" i="1"/>
  <c r="O553" i="1"/>
  <c r="X553" i="1"/>
  <c r="Y553" i="1"/>
  <c r="Z553" i="1"/>
  <c r="AA553" i="1"/>
  <c r="AB553" i="1"/>
  <c r="AC553" i="1"/>
  <c r="AE553" i="1"/>
  <c r="AF553" i="1"/>
  <c r="P553" i="1"/>
  <c r="T553" i="1"/>
  <c r="U553" i="1"/>
  <c r="AG553" i="1"/>
  <c r="AH553" i="1"/>
  <c r="AI553" i="1"/>
  <c r="AJ553" i="1"/>
  <c r="AK553" i="1"/>
  <c r="AL553" i="1"/>
  <c r="AP553" i="1"/>
  <c r="AQ553" i="1"/>
  <c r="AM553" i="1"/>
  <c r="AN553" i="1"/>
  <c r="AR553" i="1"/>
  <c r="AS553" i="1"/>
  <c r="AU553" i="1"/>
  <c r="AV553" i="1"/>
  <c r="AY553" i="1"/>
  <c r="AZ553" i="1"/>
  <c r="BA553" i="1"/>
  <c r="BB553" i="1"/>
  <c r="BC553" i="1"/>
  <c r="BD553" i="1"/>
  <c r="BE553" i="1"/>
  <c r="BF553" i="1"/>
  <c r="BG553" i="1"/>
  <c r="BH553" i="1"/>
  <c r="BI553" i="1"/>
  <c r="BJ553" i="1"/>
  <c r="BK553" i="1"/>
  <c r="BL553" i="1"/>
  <c r="BN553" i="1"/>
  <c r="BO553" i="1"/>
  <c r="BP553" i="1"/>
  <c r="BQ553" i="1"/>
  <c r="H500" i="1"/>
  <c r="I500" i="1"/>
  <c r="J500" i="1"/>
  <c r="K500" i="1"/>
  <c r="L500" i="1"/>
  <c r="M500" i="1"/>
  <c r="N500" i="1"/>
  <c r="Q500" i="1"/>
  <c r="R500" i="1"/>
  <c r="S500" i="1"/>
  <c r="V500" i="1"/>
  <c r="W500" i="1"/>
  <c r="AD500" i="1"/>
  <c r="O500" i="1"/>
  <c r="X500" i="1"/>
  <c r="Y500" i="1"/>
  <c r="Z500" i="1"/>
  <c r="AA500" i="1"/>
  <c r="AB500" i="1"/>
  <c r="AC500" i="1"/>
  <c r="AE500" i="1"/>
  <c r="AF500" i="1"/>
  <c r="P500" i="1"/>
  <c r="T500" i="1"/>
  <c r="U500" i="1"/>
  <c r="AG500" i="1"/>
  <c r="AH500" i="1"/>
  <c r="AI500" i="1"/>
  <c r="AJ500" i="1"/>
  <c r="AK500" i="1"/>
  <c r="AL500" i="1"/>
  <c r="AP500" i="1"/>
  <c r="AQ500" i="1"/>
  <c r="AM500" i="1"/>
  <c r="AN500" i="1"/>
  <c r="AR500" i="1"/>
  <c r="AS500" i="1"/>
  <c r="AU500" i="1"/>
  <c r="AV500" i="1"/>
  <c r="AW500" i="1"/>
  <c r="AY500" i="1"/>
  <c r="AZ500" i="1"/>
  <c r="BA500" i="1"/>
  <c r="BB500" i="1"/>
  <c r="BC500" i="1"/>
  <c r="BD500" i="1"/>
  <c r="BE500" i="1"/>
  <c r="BF500" i="1"/>
  <c r="BG500" i="1"/>
  <c r="BH500" i="1"/>
  <c r="BI500" i="1"/>
  <c r="BJ500" i="1"/>
  <c r="BK500" i="1"/>
  <c r="BL500" i="1"/>
  <c r="BN500" i="1"/>
  <c r="BO500" i="1"/>
  <c r="BP500" i="1"/>
  <c r="BQ500" i="1"/>
  <c r="H485" i="1"/>
  <c r="I485" i="1"/>
  <c r="J485" i="1"/>
  <c r="K485" i="1"/>
  <c r="N485" i="1"/>
  <c r="Q485" i="1"/>
  <c r="R485" i="1"/>
  <c r="V485" i="1"/>
  <c r="W485" i="1"/>
  <c r="AD485" i="1"/>
  <c r="O485" i="1"/>
  <c r="X485" i="1"/>
  <c r="Y485" i="1"/>
  <c r="Z485" i="1"/>
  <c r="AA485" i="1"/>
  <c r="AB485" i="1"/>
  <c r="AC485" i="1"/>
  <c r="AE485" i="1"/>
  <c r="AF485" i="1"/>
  <c r="P485" i="1"/>
  <c r="T485" i="1"/>
  <c r="U485" i="1"/>
  <c r="AG485" i="1"/>
  <c r="AH485" i="1"/>
  <c r="AI485" i="1"/>
  <c r="AJ485" i="1"/>
  <c r="AK485" i="1"/>
  <c r="AL485" i="1"/>
  <c r="AP485" i="1"/>
  <c r="AQ485" i="1"/>
  <c r="AM485" i="1"/>
  <c r="AN485" i="1"/>
  <c r="AR485" i="1"/>
  <c r="AS485" i="1"/>
  <c r="AU485" i="1"/>
  <c r="AV485" i="1"/>
  <c r="AY485" i="1"/>
  <c r="AZ485" i="1"/>
  <c r="BA485" i="1"/>
  <c r="BB485" i="1"/>
  <c r="BC485" i="1"/>
  <c r="BD485" i="1"/>
  <c r="BE485" i="1"/>
  <c r="BF485" i="1"/>
  <c r="BG485" i="1"/>
  <c r="BH485" i="1"/>
  <c r="BI485" i="1"/>
  <c r="BJ485" i="1"/>
  <c r="BK485" i="1"/>
  <c r="BL485" i="1"/>
  <c r="BN485" i="1"/>
  <c r="BO485" i="1"/>
  <c r="BP485" i="1"/>
  <c r="BQ485" i="1"/>
  <c r="H465" i="1"/>
  <c r="I465" i="1"/>
  <c r="J465" i="1"/>
  <c r="K465" i="1"/>
  <c r="N465" i="1"/>
  <c r="Q465" i="1"/>
  <c r="R465" i="1"/>
  <c r="S465" i="1"/>
  <c r="V465" i="1"/>
  <c r="W465" i="1"/>
  <c r="AD465" i="1"/>
  <c r="O465" i="1"/>
  <c r="X465" i="1"/>
  <c r="Y465" i="1"/>
  <c r="Z465" i="1"/>
  <c r="AA465" i="1"/>
  <c r="AB465" i="1"/>
  <c r="AC465" i="1"/>
  <c r="AE465" i="1"/>
  <c r="AF465" i="1"/>
  <c r="P465" i="1"/>
  <c r="T465" i="1"/>
  <c r="U465" i="1"/>
  <c r="AG465" i="1"/>
  <c r="AH465" i="1"/>
  <c r="AI465" i="1"/>
  <c r="AJ465" i="1"/>
  <c r="AK465" i="1"/>
  <c r="AL465" i="1"/>
  <c r="AP465" i="1"/>
  <c r="AQ465" i="1"/>
  <c r="AM465" i="1"/>
  <c r="AN465" i="1"/>
  <c r="AR465" i="1"/>
  <c r="AS465" i="1"/>
  <c r="AU465" i="1"/>
  <c r="AV465" i="1"/>
  <c r="AY465" i="1"/>
  <c r="AZ465" i="1"/>
  <c r="BA465" i="1"/>
  <c r="BB465" i="1"/>
  <c r="BC465" i="1"/>
  <c r="BD465" i="1"/>
  <c r="BE465" i="1"/>
  <c r="BF465" i="1"/>
  <c r="BG465" i="1"/>
  <c r="BH465" i="1"/>
  <c r="BI465" i="1"/>
  <c r="BJ465" i="1"/>
  <c r="BK465" i="1"/>
  <c r="BL465" i="1"/>
  <c r="BN465" i="1"/>
  <c r="BO465" i="1"/>
  <c r="BP465" i="1"/>
  <c r="BQ465" i="1"/>
  <c r="H424" i="1"/>
  <c r="I424" i="1"/>
  <c r="J424" i="1"/>
  <c r="K424" i="1"/>
  <c r="L424" i="1"/>
  <c r="M424" i="1"/>
  <c r="N424" i="1"/>
  <c r="Q424" i="1"/>
  <c r="R424" i="1"/>
  <c r="S424" i="1"/>
  <c r="V424" i="1"/>
  <c r="W424" i="1"/>
  <c r="AD424" i="1"/>
  <c r="O424" i="1"/>
  <c r="X424" i="1"/>
  <c r="Y424" i="1"/>
  <c r="Z424" i="1"/>
  <c r="AA424" i="1"/>
  <c r="AB424" i="1"/>
  <c r="AC424" i="1"/>
  <c r="AE424" i="1"/>
  <c r="AF424" i="1"/>
  <c r="P424" i="1"/>
  <c r="T424" i="1"/>
  <c r="U424" i="1"/>
  <c r="AG424" i="1"/>
  <c r="AH424" i="1"/>
  <c r="AI424" i="1"/>
  <c r="AJ424" i="1"/>
  <c r="AK424" i="1"/>
  <c r="AL424" i="1"/>
  <c r="AP424" i="1"/>
  <c r="AQ424" i="1"/>
  <c r="AM424" i="1"/>
  <c r="AN424" i="1"/>
  <c r="AR424" i="1"/>
  <c r="AS424" i="1"/>
  <c r="AU424" i="1"/>
  <c r="AV424" i="1"/>
  <c r="AW424" i="1"/>
  <c r="AX424" i="1"/>
  <c r="AY424" i="1"/>
  <c r="AZ424" i="1"/>
  <c r="BA424" i="1"/>
  <c r="BB424" i="1"/>
  <c r="BC424" i="1"/>
  <c r="BD424" i="1"/>
  <c r="BE424" i="1"/>
  <c r="BF424" i="1"/>
  <c r="BG424" i="1"/>
  <c r="BH424" i="1"/>
  <c r="BI424" i="1"/>
  <c r="AT424" i="1"/>
  <c r="BJ424" i="1"/>
  <c r="BK424" i="1"/>
  <c r="BL424" i="1"/>
  <c r="BN424" i="1"/>
  <c r="BO424" i="1"/>
  <c r="BP424" i="1"/>
  <c r="BQ424" i="1"/>
  <c r="H419" i="1"/>
  <c r="I419" i="1"/>
  <c r="J419" i="1"/>
  <c r="K419" i="1"/>
  <c r="L419" i="1"/>
  <c r="M419" i="1"/>
  <c r="N419" i="1"/>
  <c r="Q419" i="1"/>
  <c r="R419" i="1"/>
  <c r="S419" i="1"/>
  <c r="V419" i="1"/>
  <c r="W419" i="1"/>
  <c r="AD419" i="1"/>
  <c r="O419" i="1"/>
  <c r="X419" i="1"/>
  <c r="Y419" i="1"/>
  <c r="Z419" i="1"/>
  <c r="AA419" i="1"/>
  <c r="AB419" i="1"/>
  <c r="AC419" i="1"/>
  <c r="AE419" i="1"/>
  <c r="AF419" i="1"/>
  <c r="P419" i="1"/>
  <c r="T419" i="1"/>
  <c r="U419" i="1"/>
  <c r="AG419" i="1"/>
  <c r="AH419" i="1"/>
  <c r="AI419" i="1"/>
  <c r="AJ419" i="1"/>
  <c r="AK419" i="1"/>
  <c r="AL419" i="1"/>
  <c r="AP419" i="1"/>
  <c r="AQ419" i="1"/>
  <c r="AM419" i="1"/>
  <c r="AN419" i="1"/>
  <c r="AR419" i="1"/>
  <c r="AS419" i="1"/>
  <c r="AU419" i="1"/>
  <c r="AV419" i="1"/>
  <c r="AW419" i="1"/>
  <c r="AX419" i="1"/>
  <c r="AY419" i="1"/>
  <c r="AZ419" i="1"/>
  <c r="BA419" i="1"/>
  <c r="BB419" i="1"/>
  <c r="BC419" i="1"/>
  <c r="BD419" i="1"/>
  <c r="BE419" i="1"/>
  <c r="BF419" i="1"/>
  <c r="BG419" i="1"/>
  <c r="BH419" i="1"/>
  <c r="BI419" i="1"/>
  <c r="AT419" i="1"/>
  <c r="BJ419" i="1"/>
  <c r="BK419" i="1"/>
  <c r="BL419" i="1"/>
  <c r="BN419" i="1"/>
  <c r="BO419" i="1"/>
  <c r="BP419" i="1"/>
  <c r="BQ419" i="1"/>
  <c r="H417" i="1"/>
  <c r="I417" i="1"/>
  <c r="J417" i="1"/>
  <c r="K417" i="1"/>
  <c r="L417" i="1"/>
  <c r="M417" i="1"/>
  <c r="N417" i="1"/>
  <c r="Q417" i="1"/>
  <c r="R417" i="1"/>
  <c r="S417" i="1"/>
  <c r="V417" i="1"/>
  <c r="W417" i="1"/>
  <c r="AD417" i="1"/>
  <c r="O417" i="1"/>
  <c r="X417" i="1"/>
  <c r="Y417" i="1"/>
  <c r="Z417" i="1"/>
  <c r="AA417" i="1"/>
  <c r="AB417" i="1"/>
  <c r="AC417" i="1"/>
  <c r="AE417" i="1"/>
  <c r="AF417" i="1"/>
  <c r="P417" i="1"/>
  <c r="T417" i="1"/>
  <c r="U417" i="1"/>
  <c r="AH417" i="1"/>
  <c r="AI417" i="1"/>
  <c r="AJ417" i="1"/>
  <c r="AK417" i="1"/>
  <c r="AL417" i="1"/>
  <c r="AP417" i="1"/>
  <c r="AQ417" i="1"/>
  <c r="AM417" i="1"/>
  <c r="AN417" i="1"/>
  <c r="AR417" i="1"/>
  <c r="AS417" i="1"/>
  <c r="AU417" i="1"/>
  <c r="AV417" i="1"/>
  <c r="AW417" i="1"/>
  <c r="AX417" i="1"/>
  <c r="AY417" i="1"/>
  <c r="AZ417" i="1"/>
  <c r="BA417" i="1"/>
  <c r="BB417" i="1"/>
  <c r="BC417" i="1"/>
  <c r="BD417" i="1"/>
  <c r="BE417" i="1"/>
  <c r="BF417" i="1"/>
  <c r="BG417" i="1"/>
  <c r="BH417" i="1"/>
  <c r="BI417" i="1"/>
  <c r="BJ417" i="1"/>
  <c r="BK417" i="1"/>
  <c r="BL417" i="1"/>
  <c r="BN417" i="1"/>
  <c r="BO417" i="1"/>
  <c r="BP417" i="1"/>
  <c r="BQ417" i="1"/>
  <c r="H401" i="1"/>
  <c r="I401" i="1"/>
  <c r="J401" i="1"/>
  <c r="K401" i="1"/>
  <c r="N401" i="1"/>
  <c r="Q401" i="1"/>
  <c r="R401" i="1"/>
  <c r="V401" i="1"/>
  <c r="W401" i="1"/>
  <c r="AD401" i="1"/>
  <c r="O401" i="1"/>
  <c r="X401" i="1"/>
  <c r="Y401" i="1"/>
  <c r="Z401" i="1"/>
  <c r="AA401" i="1"/>
  <c r="AB401" i="1"/>
  <c r="AC401" i="1"/>
  <c r="AE401" i="1"/>
  <c r="AF401" i="1"/>
  <c r="P401" i="1"/>
  <c r="T401" i="1"/>
  <c r="U401" i="1"/>
  <c r="AG401" i="1"/>
  <c r="AH401" i="1"/>
  <c r="AI401" i="1"/>
  <c r="AJ401" i="1"/>
  <c r="AK401" i="1"/>
  <c r="AL401" i="1"/>
  <c r="AP401" i="1"/>
  <c r="AQ401" i="1"/>
  <c r="AM401" i="1"/>
  <c r="AN401" i="1"/>
  <c r="AR401" i="1"/>
  <c r="AS401" i="1"/>
  <c r="AU401" i="1"/>
  <c r="AV401" i="1"/>
  <c r="AY401" i="1"/>
  <c r="AZ401" i="1"/>
  <c r="BA401" i="1"/>
  <c r="BB401" i="1"/>
  <c r="BC401" i="1"/>
  <c r="BD401" i="1"/>
  <c r="BE401" i="1"/>
  <c r="BF401" i="1"/>
  <c r="BG401" i="1"/>
  <c r="BH401" i="1"/>
  <c r="BI401" i="1"/>
  <c r="AT401" i="1"/>
  <c r="BJ401" i="1"/>
  <c r="BK401" i="1"/>
  <c r="BL401" i="1"/>
  <c r="BN401" i="1"/>
  <c r="BO401" i="1"/>
  <c r="BP401" i="1"/>
  <c r="BQ401" i="1"/>
  <c r="H373" i="1"/>
  <c r="I373" i="1"/>
  <c r="J373" i="1"/>
  <c r="K373" i="1"/>
  <c r="L373" i="1"/>
  <c r="M373" i="1"/>
  <c r="N373" i="1"/>
  <c r="Q373" i="1"/>
  <c r="R373" i="1"/>
  <c r="S373" i="1"/>
  <c r="V373" i="1"/>
  <c r="W373" i="1"/>
  <c r="AD373" i="1"/>
  <c r="O373" i="1"/>
  <c r="X373" i="1"/>
  <c r="Y373" i="1"/>
  <c r="Z373" i="1"/>
  <c r="AA373" i="1"/>
  <c r="AB373" i="1"/>
  <c r="AC373" i="1"/>
  <c r="AE373" i="1"/>
  <c r="AF373" i="1"/>
  <c r="P373" i="1"/>
  <c r="T373" i="1"/>
  <c r="U373" i="1"/>
  <c r="AG373" i="1"/>
  <c r="AH373" i="1"/>
  <c r="AI373" i="1"/>
  <c r="AJ373" i="1"/>
  <c r="AK373" i="1"/>
  <c r="AL373" i="1"/>
  <c r="AP373" i="1"/>
  <c r="AQ373" i="1"/>
  <c r="AM373" i="1"/>
  <c r="AN373" i="1"/>
  <c r="AR373" i="1"/>
  <c r="AS373" i="1"/>
  <c r="AU373" i="1"/>
  <c r="AV373" i="1"/>
  <c r="AW373" i="1"/>
  <c r="AX373" i="1"/>
  <c r="AY373" i="1"/>
  <c r="AZ373" i="1"/>
  <c r="BA373" i="1"/>
  <c r="BB373" i="1"/>
  <c r="BC373" i="1"/>
  <c r="BD373" i="1"/>
  <c r="BE373" i="1"/>
  <c r="BF373" i="1"/>
  <c r="BG373" i="1"/>
  <c r="BH373" i="1"/>
  <c r="BI373" i="1"/>
  <c r="AT373" i="1"/>
  <c r="BJ373" i="1"/>
  <c r="BK373" i="1"/>
  <c r="BL373" i="1"/>
  <c r="BN373" i="1"/>
  <c r="BO373" i="1"/>
  <c r="BP373" i="1"/>
  <c r="BQ373" i="1"/>
  <c r="H367" i="1"/>
  <c r="I367" i="1"/>
  <c r="J367" i="1"/>
  <c r="K367" i="1"/>
  <c r="N367" i="1"/>
  <c r="Q367" i="1"/>
  <c r="R367" i="1"/>
  <c r="S367" i="1"/>
  <c r="V367" i="1"/>
  <c r="AD367" i="1"/>
  <c r="O367" i="1"/>
  <c r="X367" i="1"/>
  <c r="Y367" i="1"/>
  <c r="Z367" i="1"/>
  <c r="AA367" i="1"/>
  <c r="AB367" i="1"/>
  <c r="AC367" i="1"/>
  <c r="AE367" i="1"/>
  <c r="AF367" i="1"/>
  <c r="P367" i="1"/>
  <c r="T367" i="1"/>
  <c r="U367" i="1"/>
  <c r="AG367" i="1"/>
  <c r="AH367" i="1"/>
  <c r="AI367" i="1"/>
  <c r="AJ367" i="1"/>
  <c r="AK367" i="1"/>
  <c r="AL367" i="1"/>
  <c r="AP367" i="1"/>
  <c r="AQ367" i="1"/>
  <c r="AM367" i="1"/>
  <c r="AN367" i="1"/>
  <c r="AR367" i="1"/>
  <c r="AS367" i="1"/>
  <c r="AU367" i="1"/>
  <c r="AV367" i="1"/>
  <c r="AW367" i="1"/>
  <c r="AX367" i="1"/>
  <c r="AY367" i="1"/>
  <c r="AZ367" i="1"/>
  <c r="BA367" i="1"/>
  <c r="BB367" i="1"/>
  <c r="BC367" i="1"/>
  <c r="BD367" i="1"/>
  <c r="BE367" i="1"/>
  <c r="BF367" i="1"/>
  <c r="BG367" i="1"/>
  <c r="BH367" i="1"/>
  <c r="BI367" i="1"/>
  <c r="BJ367" i="1"/>
  <c r="BK367" i="1"/>
  <c r="BL367" i="1"/>
  <c r="BN367" i="1"/>
  <c r="BO367" i="1"/>
  <c r="BP367" i="1"/>
  <c r="BQ367" i="1"/>
  <c r="H330" i="1"/>
  <c r="I330" i="1"/>
  <c r="J330" i="1"/>
  <c r="K330" i="1"/>
  <c r="N330" i="1"/>
  <c r="Q330" i="1"/>
  <c r="R330" i="1"/>
  <c r="S330" i="1"/>
  <c r="V330" i="1"/>
  <c r="W330" i="1"/>
  <c r="AD330" i="1"/>
  <c r="O330" i="1"/>
  <c r="X330" i="1"/>
  <c r="Y330" i="1"/>
  <c r="Z330" i="1"/>
  <c r="AA330" i="1"/>
  <c r="AB330" i="1"/>
  <c r="AC330" i="1"/>
  <c r="AE330" i="1"/>
  <c r="AF330" i="1"/>
  <c r="P330" i="1"/>
  <c r="T330" i="1"/>
  <c r="U330" i="1"/>
  <c r="AG330" i="1"/>
  <c r="AH330" i="1"/>
  <c r="AI330" i="1"/>
  <c r="AJ330" i="1"/>
  <c r="AK330" i="1"/>
  <c r="AL330" i="1"/>
  <c r="AP330" i="1"/>
  <c r="AQ330" i="1"/>
  <c r="AM330" i="1"/>
  <c r="AN330" i="1"/>
  <c r="AR330" i="1"/>
  <c r="AS330" i="1"/>
  <c r="AU330" i="1"/>
  <c r="AV330" i="1"/>
  <c r="AW330" i="1"/>
  <c r="AX330" i="1"/>
  <c r="AY330" i="1"/>
  <c r="AZ330" i="1"/>
  <c r="BA330" i="1"/>
  <c r="BB330" i="1"/>
  <c r="BC330" i="1"/>
  <c r="BD330" i="1"/>
  <c r="BE330" i="1"/>
  <c r="BF330" i="1"/>
  <c r="BG330" i="1"/>
  <c r="BH330" i="1"/>
  <c r="BI330" i="1"/>
  <c r="AT330" i="1"/>
  <c r="BJ330" i="1"/>
  <c r="BK330" i="1"/>
  <c r="BL330" i="1"/>
  <c r="BN330" i="1"/>
  <c r="BO330" i="1"/>
  <c r="BP330" i="1"/>
  <c r="BQ330" i="1"/>
  <c r="H313" i="1"/>
  <c r="I313" i="1"/>
  <c r="J313" i="1"/>
  <c r="K313" i="1"/>
  <c r="N313" i="1"/>
  <c r="Q313" i="1"/>
  <c r="R313" i="1"/>
  <c r="S313" i="1"/>
  <c r="V313" i="1"/>
  <c r="W313" i="1"/>
  <c r="AD313" i="1"/>
  <c r="O313" i="1"/>
  <c r="X313" i="1"/>
  <c r="Y313" i="1"/>
  <c r="Z313" i="1"/>
  <c r="AA313" i="1"/>
  <c r="AB313" i="1"/>
  <c r="AC313" i="1"/>
  <c r="AE313" i="1"/>
  <c r="AF313" i="1"/>
  <c r="P313" i="1"/>
  <c r="T313" i="1"/>
  <c r="U313" i="1"/>
  <c r="AG313" i="1"/>
  <c r="AH313" i="1"/>
  <c r="AI313" i="1"/>
  <c r="AJ313" i="1"/>
  <c r="AK313" i="1"/>
  <c r="AL313" i="1"/>
  <c r="AP313" i="1"/>
  <c r="AQ313" i="1"/>
  <c r="AM313" i="1"/>
  <c r="AN313" i="1"/>
  <c r="AR313" i="1"/>
  <c r="AS313" i="1"/>
  <c r="AU313" i="1"/>
  <c r="AV313" i="1"/>
  <c r="AY313" i="1"/>
  <c r="AZ313" i="1"/>
  <c r="BA313" i="1"/>
  <c r="BB313" i="1"/>
  <c r="BC313" i="1"/>
  <c r="BD313" i="1"/>
  <c r="BE313" i="1"/>
  <c r="BF313" i="1"/>
  <c r="BG313" i="1"/>
  <c r="BH313" i="1"/>
  <c r="BI313" i="1"/>
  <c r="BJ313" i="1"/>
  <c r="BK313" i="1"/>
  <c r="BL313" i="1"/>
  <c r="BN313" i="1"/>
  <c r="BO313" i="1"/>
  <c r="BP313" i="1"/>
  <c r="BQ313" i="1"/>
  <c r="H281" i="1"/>
  <c r="I281" i="1"/>
  <c r="J281" i="1"/>
  <c r="K281" i="1"/>
  <c r="L281" i="1"/>
  <c r="M281" i="1"/>
  <c r="N281" i="1"/>
  <c r="Q281" i="1"/>
  <c r="R281" i="1"/>
  <c r="V281" i="1"/>
  <c r="W281" i="1"/>
  <c r="AD281" i="1"/>
  <c r="O281" i="1"/>
  <c r="X281" i="1"/>
  <c r="Y281" i="1"/>
  <c r="Z281" i="1"/>
  <c r="AA281" i="1"/>
  <c r="AB281" i="1"/>
  <c r="AC281" i="1"/>
  <c r="AE281" i="1"/>
  <c r="AF281" i="1"/>
  <c r="P281" i="1"/>
  <c r="T281" i="1"/>
  <c r="U281" i="1"/>
  <c r="AG281" i="1"/>
  <c r="AH281" i="1"/>
  <c r="AI281" i="1"/>
  <c r="AJ281" i="1"/>
  <c r="AK281" i="1"/>
  <c r="AL281" i="1"/>
  <c r="AP281" i="1"/>
  <c r="AQ281" i="1"/>
  <c r="AM281" i="1"/>
  <c r="AN281" i="1"/>
  <c r="AR281" i="1"/>
  <c r="AS281" i="1"/>
  <c r="AU281" i="1"/>
  <c r="AV281" i="1"/>
  <c r="AW281" i="1"/>
  <c r="AX281" i="1"/>
  <c r="AY281" i="1"/>
  <c r="AZ281" i="1"/>
  <c r="BA281" i="1"/>
  <c r="BB281" i="1"/>
  <c r="BC281" i="1"/>
  <c r="BD281" i="1"/>
  <c r="BE281" i="1"/>
  <c r="BF281" i="1"/>
  <c r="BG281" i="1"/>
  <c r="BH281" i="1"/>
  <c r="BI281" i="1"/>
  <c r="AT281" i="1"/>
  <c r="BJ281" i="1"/>
  <c r="BK281" i="1"/>
  <c r="BL281" i="1"/>
  <c r="BN281" i="1"/>
  <c r="BO281" i="1"/>
  <c r="BP281" i="1"/>
  <c r="BQ281" i="1"/>
  <c r="H269" i="1"/>
  <c r="I269" i="1"/>
  <c r="J269" i="1"/>
  <c r="K269" i="1"/>
  <c r="L269" i="1"/>
  <c r="M269" i="1"/>
  <c r="N269" i="1"/>
  <c r="Q269" i="1"/>
  <c r="R269" i="1"/>
  <c r="S269" i="1"/>
  <c r="V269" i="1"/>
  <c r="W269" i="1"/>
  <c r="AD269" i="1"/>
  <c r="O269" i="1"/>
  <c r="X269" i="1"/>
  <c r="Y269" i="1"/>
  <c r="Z269" i="1"/>
  <c r="AA269" i="1"/>
  <c r="AB269" i="1"/>
  <c r="AC269" i="1"/>
  <c r="AE269" i="1"/>
  <c r="AF269" i="1"/>
  <c r="P269" i="1"/>
  <c r="T269" i="1"/>
  <c r="U269" i="1"/>
  <c r="AG269" i="1"/>
  <c r="AH269" i="1"/>
  <c r="AI269" i="1"/>
  <c r="AJ269" i="1"/>
  <c r="AK269" i="1"/>
  <c r="AL269" i="1"/>
  <c r="AP269" i="1"/>
  <c r="AQ269" i="1"/>
  <c r="AM269" i="1"/>
  <c r="AN269" i="1"/>
  <c r="AR269" i="1"/>
  <c r="AS269" i="1"/>
  <c r="AU269" i="1"/>
  <c r="AV269" i="1"/>
  <c r="AW269" i="1"/>
  <c r="AX269" i="1"/>
  <c r="AY269" i="1"/>
  <c r="AZ269" i="1"/>
  <c r="BA269" i="1"/>
  <c r="BB269" i="1"/>
  <c r="BC269" i="1"/>
  <c r="BD269" i="1"/>
  <c r="BE269" i="1"/>
  <c r="BF269" i="1"/>
  <c r="BG269" i="1"/>
  <c r="BH269" i="1"/>
  <c r="BI269" i="1"/>
  <c r="AT269" i="1"/>
  <c r="BJ269" i="1"/>
  <c r="BK269" i="1"/>
  <c r="BL269" i="1"/>
  <c r="BN269" i="1"/>
  <c r="BO269" i="1"/>
  <c r="BP269" i="1"/>
  <c r="BQ269" i="1"/>
  <c r="H264" i="1"/>
  <c r="I264" i="1"/>
  <c r="J264" i="1"/>
  <c r="K264" i="1"/>
  <c r="N264" i="1"/>
  <c r="Q264" i="1"/>
  <c r="R264" i="1"/>
  <c r="S264" i="1"/>
  <c r="V264" i="1"/>
  <c r="W264" i="1"/>
  <c r="AD264" i="1"/>
  <c r="O264" i="1"/>
  <c r="X264" i="1"/>
  <c r="Y264" i="1"/>
  <c r="Z264" i="1"/>
  <c r="AA264" i="1"/>
  <c r="AB264" i="1"/>
  <c r="AC264" i="1"/>
  <c r="AE264" i="1"/>
  <c r="AF264" i="1"/>
  <c r="P264" i="1"/>
  <c r="T264" i="1"/>
  <c r="U264" i="1"/>
  <c r="AG264" i="1"/>
  <c r="AH264" i="1"/>
  <c r="AI264" i="1"/>
  <c r="AJ264" i="1"/>
  <c r="AK264" i="1"/>
  <c r="AL264" i="1"/>
  <c r="AP264" i="1"/>
  <c r="AQ264" i="1"/>
  <c r="AM264" i="1"/>
  <c r="AN264" i="1"/>
  <c r="AR264" i="1"/>
  <c r="AS264" i="1"/>
  <c r="AU264" i="1"/>
  <c r="AV264" i="1"/>
  <c r="AW264" i="1"/>
  <c r="AX264" i="1"/>
  <c r="AY264" i="1"/>
  <c r="AZ264" i="1"/>
  <c r="BA264" i="1"/>
  <c r="BB264" i="1"/>
  <c r="BC264" i="1"/>
  <c r="BD264" i="1"/>
  <c r="BE264" i="1"/>
  <c r="BF264" i="1"/>
  <c r="BG264" i="1"/>
  <c r="BH264" i="1"/>
  <c r="BI264" i="1"/>
  <c r="AT264" i="1"/>
  <c r="BJ264" i="1"/>
  <c r="BK264" i="1"/>
  <c r="BL264" i="1"/>
  <c r="BN264" i="1"/>
  <c r="BO264" i="1"/>
  <c r="BP264" i="1"/>
  <c r="BQ264" i="1"/>
  <c r="H237" i="1"/>
  <c r="I237" i="1"/>
  <c r="J237" i="1"/>
  <c r="K237" i="1"/>
  <c r="L237" i="1"/>
  <c r="M237" i="1"/>
  <c r="N237" i="1"/>
  <c r="Q237" i="1"/>
  <c r="R237" i="1"/>
  <c r="S237" i="1"/>
  <c r="V237" i="1"/>
  <c r="W237" i="1"/>
  <c r="AD237" i="1"/>
  <c r="O237" i="1"/>
  <c r="X237" i="1"/>
  <c r="Y237" i="1"/>
  <c r="Z237" i="1"/>
  <c r="AA237" i="1"/>
  <c r="AB237" i="1"/>
  <c r="AC237" i="1"/>
  <c r="AE237" i="1"/>
  <c r="AF237" i="1"/>
  <c r="P237" i="1"/>
  <c r="T237" i="1"/>
  <c r="U237" i="1"/>
  <c r="AG237" i="1"/>
  <c r="AH237" i="1"/>
  <c r="AI237" i="1"/>
  <c r="AJ237" i="1"/>
  <c r="AK237" i="1"/>
  <c r="AL237" i="1"/>
  <c r="AP237" i="1"/>
  <c r="AQ237" i="1"/>
  <c r="AM237" i="1"/>
  <c r="AN237" i="1"/>
  <c r="AR237" i="1"/>
  <c r="AS237" i="1"/>
  <c r="AU237" i="1"/>
  <c r="AV237" i="1"/>
  <c r="AY237" i="1"/>
  <c r="AZ237" i="1"/>
  <c r="BA237" i="1"/>
  <c r="BB237" i="1"/>
  <c r="BC237" i="1"/>
  <c r="BD237" i="1"/>
  <c r="BE237" i="1"/>
  <c r="BF237" i="1"/>
  <c r="BG237" i="1"/>
  <c r="BH237" i="1"/>
  <c r="BI237" i="1"/>
  <c r="BJ237" i="1"/>
  <c r="BK237" i="1"/>
  <c r="BL237" i="1"/>
  <c r="BN237" i="1"/>
  <c r="BO237" i="1"/>
  <c r="BP237" i="1"/>
  <c r="BQ237" i="1"/>
  <c r="H194" i="1"/>
  <c r="I194" i="1"/>
  <c r="J194" i="1"/>
  <c r="K194" i="1"/>
  <c r="L194" i="1"/>
  <c r="M194" i="1"/>
  <c r="N194" i="1"/>
  <c r="Q194" i="1"/>
  <c r="R194" i="1"/>
  <c r="S194" i="1"/>
  <c r="V194" i="1"/>
  <c r="W194" i="1"/>
  <c r="AD194" i="1"/>
  <c r="O194" i="1"/>
  <c r="X194" i="1"/>
  <c r="Y194" i="1"/>
  <c r="Z194" i="1"/>
  <c r="AA194" i="1"/>
  <c r="AB194" i="1"/>
  <c r="AC194" i="1"/>
  <c r="AE194" i="1"/>
  <c r="AF194" i="1"/>
  <c r="P194" i="1"/>
  <c r="T194" i="1"/>
  <c r="U194" i="1"/>
  <c r="AG194" i="1"/>
  <c r="AH194" i="1"/>
  <c r="AI194" i="1"/>
  <c r="AJ194" i="1"/>
  <c r="AK194" i="1"/>
  <c r="AL194" i="1"/>
  <c r="AP194" i="1"/>
  <c r="AQ194" i="1"/>
  <c r="AM194" i="1"/>
  <c r="AN194" i="1"/>
  <c r="AR194" i="1"/>
  <c r="AS194" i="1"/>
  <c r="AU194" i="1"/>
  <c r="AV194" i="1"/>
  <c r="AW194" i="1"/>
  <c r="AX194" i="1"/>
  <c r="AY194" i="1"/>
  <c r="AZ194" i="1"/>
  <c r="BA194" i="1"/>
  <c r="BB194" i="1"/>
  <c r="BC194" i="1"/>
  <c r="BD194" i="1"/>
  <c r="BE194" i="1"/>
  <c r="BF194" i="1"/>
  <c r="BG194" i="1"/>
  <c r="BH194" i="1"/>
  <c r="BI194" i="1"/>
  <c r="AT194" i="1"/>
  <c r="BJ194" i="1"/>
  <c r="BK194" i="1"/>
  <c r="BL194" i="1"/>
  <c r="BN194" i="1"/>
  <c r="BO194" i="1"/>
  <c r="BP194" i="1"/>
  <c r="BQ194" i="1"/>
  <c r="H188" i="1"/>
  <c r="I188" i="1"/>
  <c r="J188" i="1"/>
  <c r="K188" i="1"/>
  <c r="L188" i="1"/>
  <c r="M188" i="1"/>
  <c r="N188" i="1"/>
  <c r="Q188" i="1"/>
  <c r="R188" i="1"/>
  <c r="S188" i="1"/>
  <c r="V188" i="1"/>
  <c r="W188" i="1"/>
  <c r="AD188" i="1"/>
  <c r="O188" i="1"/>
  <c r="X188" i="1"/>
  <c r="Y188" i="1"/>
  <c r="Z188" i="1"/>
  <c r="AA188" i="1"/>
  <c r="AB188" i="1"/>
  <c r="AC188" i="1"/>
  <c r="AE188" i="1"/>
  <c r="AF188" i="1"/>
  <c r="P188" i="1"/>
  <c r="T188" i="1"/>
  <c r="U188" i="1"/>
  <c r="AG188" i="1"/>
  <c r="AH188" i="1"/>
  <c r="AI188" i="1"/>
  <c r="AJ188" i="1"/>
  <c r="AK188" i="1"/>
  <c r="AL188" i="1"/>
  <c r="AP188" i="1"/>
  <c r="AQ188" i="1"/>
  <c r="AM188" i="1"/>
  <c r="AN188" i="1"/>
  <c r="AR188" i="1"/>
  <c r="AS188" i="1"/>
  <c r="AU188" i="1"/>
  <c r="AV188" i="1"/>
  <c r="AW188" i="1"/>
  <c r="AY188" i="1"/>
  <c r="AZ188" i="1"/>
  <c r="BA188" i="1"/>
  <c r="BB188" i="1"/>
  <c r="BC188" i="1"/>
  <c r="BD188" i="1"/>
  <c r="BE188" i="1"/>
  <c r="BF188" i="1"/>
  <c r="BG188" i="1"/>
  <c r="BH188" i="1"/>
  <c r="BI188" i="1"/>
  <c r="AT188" i="1"/>
  <c r="BJ188" i="1"/>
  <c r="BK188" i="1"/>
  <c r="BL188" i="1"/>
  <c r="BN188" i="1"/>
  <c r="BO188" i="1"/>
  <c r="BP188" i="1"/>
  <c r="BQ188" i="1"/>
  <c r="H175" i="1"/>
  <c r="I175" i="1"/>
  <c r="J175" i="1"/>
  <c r="K175" i="1"/>
  <c r="N175" i="1"/>
  <c r="Q175" i="1"/>
  <c r="R175" i="1"/>
  <c r="V175" i="1"/>
  <c r="W175" i="1"/>
  <c r="AD175" i="1"/>
  <c r="O175" i="1"/>
  <c r="X175" i="1"/>
  <c r="Y175" i="1"/>
  <c r="Z175" i="1"/>
  <c r="AA175" i="1"/>
  <c r="AB175" i="1"/>
  <c r="AC175" i="1"/>
  <c r="AE175" i="1"/>
  <c r="AF175" i="1"/>
  <c r="P175" i="1"/>
  <c r="T175" i="1"/>
  <c r="U175" i="1"/>
  <c r="AG175" i="1"/>
  <c r="AH175" i="1"/>
  <c r="AI175" i="1"/>
  <c r="AJ175" i="1"/>
  <c r="AK175" i="1"/>
  <c r="AL175" i="1"/>
  <c r="AP175" i="1"/>
  <c r="AQ175" i="1"/>
  <c r="AM175" i="1"/>
  <c r="AN175" i="1"/>
  <c r="AR175" i="1"/>
  <c r="AS175" i="1"/>
  <c r="AU175" i="1"/>
  <c r="AV175" i="1"/>
  <c r="AY175" i="1"/>
  <c r="AZ175" i="1"/>
  <c r="BA175" i="1"/>
  <c r="BB175" i="1"/>
  <c r="BC175" i="1"/>
  <c r="BD175" i="1"/>
  <c r="BE175" i="1"/>
  <c r="BF175" i="1"/>
  <c r="BG175" i="1"/>
  <c r="BH175" i="1"/>
  <c r="BI175" i="1"/>
  <c r="AT175" i="1"/>
  <c r="BJ175" i="1"/>
  <c r="BK175" i="1"/>
  <c r="BL175" i="1"/>
  <c r="BN175" i="1"/>
  <c r="BO175" i="1"/>
  <c r="BP175" i="1"/>
  <c r="BQ175" i="1"/>
  <c r="H155" i="1"/>
  <c r="I155" i="1"/>
  <c r="J155" i="1"/>
  <c r="K155" i="1"/>
  <c r="L155" i="1"/>
  <c r="M155" i="1"/>
  <c r="N155" i="1"/>
  <c r="Q155" i="1"/>
  <c r="R155" i="1"/>
  <c r="S155" i="1"/>
  <c r="V155" i="1"/>
  <c r="W155" i="1"/>
  <c r="AD155" i="1"/>
  <c r="O155" i="1"/>
  <c r="X155" i="1"/>
  <c r="Y155" i="1"/>
  <c r="Z155" i="1"/>
  <c r="AA155" i="1"/>
  <c r="AB155" i="1"/>
  <c r="AC155" i="1"/>
  <c r="AE155" i="1"/>
  <c r="AF155" i="1"/>
  <c r="P155" i="1"/>
  <c r="T155" i="1"/>
  <c r="U155" i="1"/>
  <c r="AG155" i="1"/>
  <c r="AH155" i="1"/>
  <c r="AI155" i="1"/>
  <c r="AJ155" i="1"/>
  <c r="AK155" i="1"/>
  <c r="AL155" i="1"/>
  <c r="AP155" i="1"/>
  <c r="AQ155" i="1"/>
  <c r="AM155" i="1"/>
  <c r="AN155" i="1"/>
  <c r="AR155" i="1"/>
  <c r="AS155" i="1"/>
  <c r="AU155" i="1"/>
  <c r="AV155" i="1"/>
  <c r="AW155" i="1"/>
  <c r="AX155" i="1"/>
  <c r="AY155" i="1"/>
  <c r="AZ155" i="1"/>
  <c r="BA155" i="1"/>
  <c r="BB155" i="1"/>
  <c r="BC155" i="1"/>
  <c r="BD155" i="1"/>
  <c r="BE155" i="1"/>
  <c r="BF155" i="1"/>
  <c r="BG155" i="1"/>
  <c r="BH155" i="1"/>
  <c r="BI155" i="1"/>
  <c r="AT155" i="1"/>
  <c r="BJ155" i="1"/>
  <c r="BK155" i="1"/>
  <c r="BL155" i="1"/>
  <c r="BN155" i="1"/>
  <c r="BO155" i="1"/>
  <c r="BP155" i="1"/>
  <c r="BQ155" i="1"/>
  <c r="H140" i="1"/>
  <c r="I140" i="1"/>
  <c r="J140" i="1"/>
  <c r="K140" i="1"/>
  <c r="N140" i="1"/>
  <c r="Q140" i="1"/>
  <c r="R140" i="1"/>
  <c r="S140" i="1"/>
  <c r="V140" i="1"/>
  <c r="W140" i="1"/>
  <c r="AD140" i="1"/>
  <c r="O140" i="1"/>
  <c r="X140" i="1"/>
  <c r="Y140" i="1"/>
  <c r="Z140" i="1"/>
  <c r="AA140" i="1"/>
  <c r="AB140" i="1"/>
  <c r="AC140" i="1"/>
  <c r="AE140" i="1"/>
  <c r="AF140" i="1"/>
  <c r="P140" i="1"/>
  <c r="T140" i="1"/>
  <c r="U140" i="1"/>
  <c r="AH140" i="1"/>
  <c r="AI140" i="1"/>
  <c r="AJ140" i="1"/>
  <c r="AK140" i="1"/>
  <c r="AL140" i="1"/>
  <c r="AP140" i="1"/>
  <c r="AQ140" i="1"/>
  <c r="AM140" i="1"/>
  <c r="AN140" i="1"/>
  <c r="AR140" i="1"/>
  <c r="AS140" i="1"/>
  <c r="AU140" i="1"/>
  <c r="AV140" i="1"/>
  <c r="AW140" i="1"/>
  <c r="AY140" i="1"/>
  <c r="AZ140" i="1"/>
  <c r="BA140" i="1"/>
  <c r="BB140" i="1"/>
  <c r="BC140" i="1"/>
  <c r="BD140" i="1"/>
  <c r="BE140" i="1"/>
  <c r="BF140" i="1"/>
  <c r="BG140" i="1"/>
  <c r="BH140" i="1"/>
  <c r="BI140" i="1"/>
  <c r="AT140" i="1"/>
  <c r="BJ140" i="1"/>
  <c r="BK140" i="1"/>
  <c r="BL140" i="1"/>
  <c r="BN140" i="1"/>
  <c r="BO140" i="1"/>
  <c r="BP140" i="1"/>
  <c r="BQ140" i="1"/>
  <c r="H100" i="1"/>
  <c r="I100" i="1"/>
  <c r="J100" i="1"/>
  <c r="K100" i="1"/>
  <c r="L100" i="1"/>
  <c r="M100" i="1"/>
  <c r="N100" i="1"/>
  <c r="Q100" i="1"/>
  <c r="R100" i="1"/>
  <c r="S100" i="1"/>
  <c r="V100" i="1"/>
  <c r="W100" i="1"/>
  <c r="AD100" i="1"/>
  <c r="O100" i="1"/>
  <c r="X100" i="1"/>
  <c r="Y100" i="1"/>
  <c r="Z100" i="1"/>
  <c r="AA100" i="1"/>
  <c r="AB100" i="1"/>
  <c r="AC100" i="1"/>
  <c r="AE100" i="1"/>
  <c r="AF100" i="1"/>
  <c r="P100" i="1"/>
  <c r="T100" i="1"/>
  <c r="U100" i="1"/>
  <c r="AG100" i="1"/>
  <c r="AH100" i="1"/>
  <c r="AI100" i="1"/>
  <c r="AJ100" i="1"/>
  <c r="AK100" i="1"/>
  <c r="AL100" i="1"/>
  <c r="AP100" i="1"/>
  <c r="AQ100" i="1"/>
  <c r="AM100" i="1"/>
  <c r="AN100" i="1"/>
  <c r="AR100" i="1"/>
  <c r="AS100" i="1"/>
  <c r="AU100" i="1"/>
  <c r="AV100" i="1"/>
  <c r="AY100" i="1"/>
  <c r="AZ100" i="1"/>
  <c r="BA100" i="1"/>
  <c r="BB100" i="1"/>
  <c r="BC100" i="1"/>
  <c r="BD100" i="1"/>
  <c r="BE100" i="1"/>
  <c r="BF100" i="1"/>
  <c r="BG100" i="1"/>
  <c r="BH100" i="1"/>
  <c r="BI100" i="1"/>
  <c r="AT100" i="1"/>
  <c r="BJ100" i="1"/>
  <c r="BK100" i="1"/>
  <c r="BL100" i="1"/>
  <c r="BN100" i="1"/>
  <c r="BO100" i="1"/>
  <c r="BP100" i="1"/>
  <c r="BQ100" i="1"/>
  <c r="H68" i="1"/>
  <c r="I68" i="1"/>
  <c r="J68" i="1"/>
  <c r="K68" i="1"/>
  <c r="N68" i="1"/>
  <c r="Q68" i="1"/>
  <c r="R68" i="1"/>
  <c r="S68" i="1"/>
  <c r="V68" i="1"/>
  <c r="W68" i="1"/>
  <c r="AD68" i="1"/>
  <c r="O68" i="1"/>
  <c r="X68" i="1"/>
  <c r="Y68" i="1"/>
  <c r="Z68" i="1"/>
  <c r="AA68" i="1"/>
  <c r="AB68" i="1"/>
  <c r="AC68" i="1"/>
  <c r="AE68" i="1"/>
  <c r="AF68" i="1"/>
  <c r="P68" i="1"/>
  <c r="T68" i="1"/>
  <c r="U68" i="1"/>
  <c r="AG68" i="1"/>
  <c r="AH68" i="1"/>
  <c r="AI68" i="1"/>
  <c r="AJ68" i="1"/>
  <c r="AK68" i="1"/>
  <c r="AL68" i="1"/>
  <c r="AP68" i="1"/>
  <c r="AQ68" i="1"/>
  <c r="AM68" i="1"/>
  <c r="AN68" i="1"/>
  <c r="AR68" i="1"/>
  <c r="AS68" i="1"/>
  <c r="AU68" i="1"/>
  <c r="AV68" i="1"/>
  <c r="AY68" i="1"/>
  <c r="AZ68" i="1"/>
  <c r="BA68" i="1"/>
  <c r="BB68" i="1"/>
  <c r="BC68" i="1"/>
  <c r="BD68" i="1"/>
  <c r="BE68" i="1"/>
  <c r="BF68" i="1"/>
  <c r="BG68" i="1"/>
  <c r="BH68" i="1"/>
  <c r="BI68" i="1"/>
  <c r="AT68" i="1"/>
  <c r="BJ68" i="1"/>
  <c r="BK68" i="1"/>
  <c r="BL68" i="1"/>
  <c r="BN68" i="1"/>
  <c r="BO68" i="1"/>
  <c r="BP68" i="1"/>
  <c r="BQ68" i="1"/>
  <c r="H52" i="1"/>
  <c r="I52" i="1"/>
  <c r="J52" i="1"/>
  <c r="K52" i="1"/>
  <c r="N52" i="1"/>
  <c r="Q52" i="1"/>
  <c r="R52" i="1"/>
  <c r="S52" i="1"/>
  <c r="V52" i="1"/>
  <c r="W52" i="1"/>
  <c r="AD52" i="1"/>
  <c r="O52" i="1"/>
  <c r="X52" i="1"/>
  <c r="Y52" i="1"/>
  <c r="Z52" i="1"/>
  <c r="AA52" i="1"/>
  <c r="AB52" i="1"/>
  <c r="AC52" i="1"/>
  <c r="AE52" i="1"/>
  <c r="AF52" i="1"/>
  <c r="P52" i="1"/>
  <c r="T52" i="1"/>
  <c r="U52" i="1"/>
  <c r="AG52" i="1"/>
  <c r="AH52" i="1"/>
  <c r="AI52" i="1"/>
  <c r="AJ52" i="1"/>
  <c r="AK52" i="1"/>
  <c r="AL52" i="1"/>
  <c r="AP52" i="1"/>
  <c r="AQ52" i="1"/>
  <c r="AM52" i="1"/>
  <c r="AN52" i="1"/>
  <c r="AR52" i="1"/>
  <c r="AS52" i="1"/>
  <c r="AU52" i="1"/>
  <c r="AV52" i="1"/>
  <c r="AY52" i="1"/>
  <c r="AZ52" i="1"/>
  <c r="BA52" i="1"/>
  <c r="BB52" i="1"/>
  <c r="BC52" i="1"/>
  <c r="BD52" i="1"/>
  <c r="BE52" i="1"/>
  <c r="BF52" i="1"/>
  <c r="BG52" i="1"/>
  <c r="BH52" i="1"/>
  <c r="BI52" i="1"/>
  <c r="BJ52" i="1"/>
  <c r="BK52" i="1"/>
  <c r="BL52" i="1"/>
  <c r="BN52" i="1"/>
  <c r="BO52" i="1"/>
  <c r="BP52" i="1"/>
  <c r="BQ52" i="1"/>
  <c r="H649" i="1"/>
  <c r="I649" i="1"/>
  <c r="J649" i="1"/>
  <c r="K649" i="1"/>
  <c r="N649" i="1"/>
  <c r="Q649" i="1"/>
  <c r="R649" i="1"/>
  <c r="S649" i="1"/>
  <c r="V649" i="1"/>
  <c r="W649" i="1"/>
  <c r="AD649" i="1"/>
  <c r="O649" i="1"/>
  <c r="X649" i="1"/>
  <c r="Y649" i="1"/>
  <c r="Z649" i="1"/>
  <c r="AA649" i="1"/>
  <c r="AB649" i="1"/>
  <c r="AC649" i="1"/>
  <c r="AE649" i="1"/>
  <c r="AF649" i="1"/>
  <c r="P649" i="1"/>
  <c r="T649" i="1"/>
  <c r="U649" i="1"/>
  <c r="AG649" i="1"/>
  <c r="AH649" i="1"/>
  <c r="AI649" i="1"/>
  <c r="AJ649" i="1"/>
  <c r="AK649" i="1"/>
  <c r="AL649" i="1"/>
  <c r="AP649" i="1"/>
  <c r="AQ649" i="1"/>
  <c r="AM649" i="1"/>
  <c r="AN649" i="1"/>
  <c r="AR649" i="1"/>
  <c r="AS649" i="1"/>
  <c r="AU649" i="1"/>
  <c r="AV649" i="1"/>
  <c r="AW649" i="1"/>
  <c r="AX649" i="1"/>
  <c r="AY649" i="1"/>
  <c r="AZ649" i="1"/>
  <c r="BA649" i="1"/>
  <c r="BB649" i="1"/>
  <c r="BC649" i="1"/>
  <c r="BD649" i="1"/>
  <c r="BE649" i="1"/>
  <c r="BF649" i="1"/>
  <c r="BG649" i="1"/>
  <c r="BH649" i="1"/>
  <c r="BI649" i="1"/>
  <c r="AT649" i="1"/>
  <c r="BJ649" i="1"/>
  <c r="BK649" i="1"/>
  <c r="BL649" i="1"/>
  <c r="BN649" i="1"/>
  <c r="BO649" i="1"/>
  <c r="BP649" i="1"/>
  <c r="BQ649" i="1"/>
  <c r="H657" i="1"/>
  <c r="I657" i="1"/>
  <c r="J657" i="1"/>
  <c r="K657" i="1"/>
  <c r="L657" i="1"/>
  <c r="M657" i="1"/>
  <c r="N657" i="1"/>
  <c r="Q657" i="1"/>
  <c r="R657" i="1"/>
  <c r="S657" i="1"/>
  <c r="V657" i="1"/>
  <c r="W657" i="1"/>
  <c r="AD657" i="1"/>
  <c r="O657" i="1"/>
  <c r="X657" i="1"/>
  <c r="Y657" i="1"/>
  <c r="Z657" i="1"/>
  <c r="AA657" i="1"/>
  <c r="AB657" i="1"/>
  <c r="AC657" i="1"/>
  <c r="AE657" i="1"/>
  <c r="AF657" i="1"/>
  <c r="P657" i="1"/>
  <c r="T657" i="1"/>
  <c r="U657" i="1"/>
  <c r="AG657" i="1"/>
  <c r="AH657" i="1"/>
  <c r="AI657" i="1"/>
  <c r="AJ657" i="1"/>
  <c r="AK657" i="1"/>
  <c r="AL657" i="1"/>
  <c r="AP657" i="1"/>
  <c r="AQ657" i="1"/>
  <c r="AM657" i="1"/>
  <c r="AN657" i="1"/>
  <c r="AR657" i="1"/>
  <c r="AS657" i="1"/>
  <c r="AU657" i="1"/>
  <c r="AV657" i="1"/>
  <c r="AW657" i="1"/>
  <c r="AY657" i="1"/>
  <c r="AZ657" i="1"/>
  <c r="BA657" i="1"/>
  <c r="BB657" i="1"/>
  <c r="BC657" i="1"/>
  <c r="BD657" i="1"/>
  <c r="BE657" i="1"/>
  <c r="BF657" i="1"/>
  <c r="BG657" i="1"/>
  <c r="BH657" i="1"/>
  <c r="BI657" i="1"/>
  <c r="AT657" i="1"/>
  <c r="BJ657" i="1"/>
  <c r="BK657" i="1"/>
  <c r="BL657" i="1"/>
  <c r="BN657" i="1"/>
  <c r="BO657" i="1"/>
  <c r="BP657" i="1"/>
  <c r="BQ657" i="1"/>
  <c r="H683" i="1"/>
  <c r="I683" i="1"/>
  <c r="J683" i="1"/>
  <c r="K683" i="1"/>
  <c r="N683" i="1"/>
  <c r="Q683" i="1"/>
  <c r="R683" i="1"/>
  <c r="S683" i="1"/>
  <c r="V683" i="1"/>
  <c r="W683" i="1"/>
  <c r="AD683" i="1"/>
  <c r="O683" i="1"/>
  <c r="X683" i="1"/>
  <c r="Y683" i="1"/>
  <c r="Z683" i="1"/>
  <c r="AA683" i="1"/>
  <c r="AB683" i="1"/>
  <c r="AC683" i="1"/>
  <c r="AE683" i="1"/>
  <c r="AF683" i="1"/>
  <c r="P683" i="1"/>
  <c r="T683" i="1"/>
  <c r="U683" i="1"/>
  <c r="AG683" i="1"/>
  <c r="AH683" i="1"/>
  <c r="AI683" i="1"/>
  <c r="AJ683" i="1"/>
  <c r="AK683" i="1"/>
  <c r="AL683" i="1"/>
  <c r="AP683" i="1"/>
  <c r="AQ683" i="1"/>
  <c r="AM683" i="1"/>
  <c r="AN683" i="1"/>
  <c r="AR683" i="1"/>
  <c r="AS683" i="1"/>
  <c r="AU683" i="1"/>
  <c r="AV683" i="1"/>
  <c r="AY683" i="1"/>
  <c r="AZ683" i="1"/>
  <c r="BA683" i="1"/>
  <c r="BB683" i="1"/>
  <c r="BC683" i="1"/>
  <c r="BD683" i="1"/>
  <c r="BE683" i="1"/>
  <c r="BF683" i="1"/>
  <c r="BG683" i="1"/>
  <c r="BH683" i="1"/>
  <c r="BI683" i="1"/>
  <c r="AT683" i="1"/>
  <c r="BJ683" i="1"/>
  <c r="BK683" i="1"/>
  <c r="BL683" i="1"/>
  <c r="BN683" i="1"/>
  <c r="BO683" i="1"/>
  <c r="BP683" i="1"/>
  <c r="BQ683" i="1"/>
  <c r="H708" i="1"/>
  <c r="I708" i="1"/>
  <c r="J708" i="1"/>
  <c r="K708" i="1"/>
  <c r="L708" i="1"/>
  <c r="M708" i="1"/>
  <c r="N708" i="1"/>
  <c r="Q708" i="1"/>
  <c r="R708" i="1"/>
  <c r="S708" i="1"/>
  <c r="V708" i="1"/>
  <c r="W708" i="1"/>
  <c r="AD708" i="1"/>
  <c r="O708" i="1"/>
  <c r="X708" i="1"/>
  <c r="Y708" i="1"/>
  <c r="Z708" i="1"/>
  <c r="AA708" i="1"/>
  <c r="AB708" i="1"/>
  <c r="AC708" i="1"/>
  <c r="AE708" i="1"/>
  <c r="AF708" i="1"/>
  <c r="P708" i="1"/>
  <c r="T708" i="1"/>
  <c r="U708" i="1"/>
  <c r="AG708" i="1"/>
  <c r="AH708" i="1"/>
  <c r="AI708" i="1"/>
  <c r="AJ708" i="1"/>
  <c r="AK708" i="1"/>
  <c r="AL708" i="1"/>
  <c r="AP708" i="1"/>
  <c r="AQ708" i="1"/>
  <c r="AM708" i="1"/>
  <c r="AN708" i="1"/>
  <c r="AR708" i="1"/>
  <c r="AS708" i="1"/>
  <c r="AU708" i="1"/>
  <c r="AV708" i="1"/>
  <c r="AW708" i="1"/>
  <c r="AY708" i="1"/>
  <c r="AZ708" i="1"/>
  <c r="BA708" i="1"/>
  <c r="BB708" i="1"/>
  <c r="BC708" i="1"/>
  <c r="BD708" i="1"/>
  <c r="BE708" i="1"/>
  <c r="BF708" i="1"/>
  <c r="BG708" i="1"/>
  <c r="BH708" i="1"/>
  <c r="BI708" i="1"/>
  <c r="AT708" i="1"/>
  <c r="BJ708" i="1"/>
  <c r="BK708" i="1"/>
  <c r="BL708" i="1"/>
  <c r="BN708" i="1"/>
  <c r="BO708" i="1"/>
  <c r="BP708" i="1"/>
  <c r="BQ708" i="1"/>
  <c r="J738" i="1"/>
  <c r="K738" i="1"/>
  <c r="N738" i="1"/>
  <c r="Q738" i="1"/>
  <c r="R738" i="1"/>
  <c r="S738" i="1"/>
  <c r="V738" i="1"/>
  <c r="W738" i="1"/>
  <c r="AD738" i="1"/>
  <c r="O738" i="1"/>
  <c r="X738" i="1"/>
  <c r="Y738" i="1"/>
  <c r="Z738" i="1"/>
  <c r="AA738" i="1"/>
  <c r="AB738" i="1"/>
  <c r="AC738" i="1"/>
  <c r="AE738" i="1"/>
  <c r="AF738" i="1"/>
  <c r="P738" i="1"/>
  <c r="T738" i="1"/>
  <c r="U738" i="1"/>
  <c r="AG738" i="1"/>
  <c r="AH738" i="1"/>
  <c r="AI738" i="1"/>
  <c r="AJ738" i="1"/>
  <c r="AK738" i="1"/>
  <c r="AL738" i="1"/>
  <c r="AP738" i="1"/>
  <c r="AQ738" i="1"/>
  <c r="AM738" i="1"/>
  <c r="AN738" i="1"/>
  <c r="AR738" i="1"/>
  <c r="AS738" i="1"/>
  <c r="AU738" i="1"/>
  <c r="AV738" i="1"/>
  <c r="AY738" i="1"/>
  <c r="AZ738" i="1"/>
  <c r="BA738" i="1"/>
  <c r="BB738" i="1"/>
  <c r="BC738" i="1"/>
  <c r="BD738" i="1"/>
  <c r="BE738" i="1"/>
  <c r="BF738" i="1"/>
  <c r="BG738" i="1"/>
  <c r="BH738" i="1"/>
  <c r="BI738" i="1"/>
  <c r="AT738" i="1"/>
  <c r="BJ738" i="1"/>
  <c r="BK738" i="1"/>
  <c r="BL738" i="1"/>
  <c r="BN738" i="1"/>
  <c r="BO738" i="1"/>
  <c r="BP738" i="1"/>
  <c r="BQ738" i="1"/>
  <c r="H759" i="1"/>
  <c r="I759" i="1"/>
  <c r="J759" i="1"/>
  <c r="K759" i="1"/>
  <c r="L759" i="1"/>
  <c r="M759" i="1"/>
  <c r="N759" i="1"/>
  <c r="Q759" i="1"/>
  <c r="R759" i="1"/>
  <c r="S759" i="1"/>
  <c r="V759" i="1"/>
  <c r="W759" i="1"/>
  <c r="AD759" i="1"/>
  <c r="O759" i="1"/>
  <c r="X759" i="1"/>
  <c r="Y759" i="1"/>
  <c r="Z759" i="1"/>
  <c r="AA759" i="1"/>
  <c r="AB759" i="1"/>
  <c r="AC759" i="1"/>
  <c r="AE759" i="1"/>
  <c r="AF759" i="1"/>
  <c r="P759" i="1"/>
  <c r="T759" i="1"/>
  <c r="U759" i="1"/>
  <c r="AG759" i="1"/>
  <c r="AH759" i="1"/>
  <c r="AI759" i="1"/>
  <c r="AJ759" i="1"/>
  <c r="AK759" i="1"/>
  <c r="AL759" i="1"/>
  <c r="AP759" i="1"/>
  <c r="AQ759" i="1"/>
  <c r="AM759" i="1"/>
  <c r="AN759" i="1"/>
  <c r="AR759" i="1"/>
  <c r="AS759" i="1"/>
  <c r="AU759" i="1"/>
  <c r="AV759" i="1"/>
  <c r="AY759" i="1"/>
  <c r="AZ759" i="1"/>
  <c r="BA759" i="1"/>
  <c r="BB759" i="1"/>
  <c r="BC759" i="1"/>
  <c r="BD759" i="1"/>
  <c r="BE759" i="1"/>
  <c r="BF759" i="1"/>
  <c r="BG759" i="1"/>
  <c r="BH759" i="1"/>
  <c r="BI759" i="1"/>
  <c r="AT759" i="1"/>
  <c r="BJ759" i="1"/>
  <c r="BK759" i="1"/>
  <c r="BL759" i="1"/>
  <c r="BN759" i="1"/>
  <c r="BO759" i="1"/>
  <c r="BP759" i="1"/>
  <c r="BQ759" i="1"/>
  <c r="H765" i="1"/>
  <c r="I765" i="1"/>
  <c r="J765" i="1"/>
  <c r="K765" i="1"/>
  <c r="N765" i="1"/>
  <c r="Q765" i="1"/>
  <c r="R765" i="1"/>
  <c r="S765" i="1"/>
  <c r="V765" i="1"/>
  <c r="W765" i="1"/>
  <c r="AD765" i="1"/>
  <c r="O765" i="1"/>
  <c r="X765" i="1"/>
  <c r="Y765" i="1"/>
  <c r="Z765" i="1"/>
  <c r="AA765" i="1"/>
  <c r="AB765" i="1"/>
  <c r="AC765" i="1"/>
  <c r="AE765" i="1"/>
  <c r="AF765" i="1"/>
  <c r="P765" i="1"/>
  <c r="T765" i="1"/>
  <c r="U765" i="1"/>
  <c r="AG765" i="1"/>
  <c r="AH765" i="1"/>
  <c r="AI765" i="1"/>
  <c r="AJ765" i="1"/>
  <c r="AK765" i="1"/>
  <c r="AL765" i="1"/>
  <c r="AP765" i="1"/>
  <c r="AQ765" i="1"/>
  <c r="AM765" i="1"/>
  <c r="AN765" i="1"/>
  <c r="AR765" i="1"/>
  <c r="AS765" i="1"/>
  <c r="AU765" i="1"/>
  <c r="AV765" i="1"/>
  <c r="AW765" i="1"/>
  <c r="AY765" i="1"/>
  <c r="AZ765" i="1"/>
  <c r="BA765" i="1"/>
  <c r="BB765" i="1"/>
  <c r="BC765" i="1"/>
  <c r="BD765" i="1"/>
  <c r="BE765" i="1"/>
  <c r="BF765" i="1"/>
  <c r="BG765" i="1"/>
  <c r="BH765" i="1"/>
  <c r="BI765" i="1"/>
  <c r="AT765" i="1"/>
  <c r="BJ765" i="1"/>
  <c r="BK765" i="1"/>
  <c r="BL765" i="1"/>
  <c r="BN765" i="1"/>
  <c r="BO765" i="1"/>
  <c r="BP765" i="1"/>
  <c r="BQ765" i="1"/>
  <c r="H794" i="1"/>
  <c r="I794" i="1"/>
  <c r="J794" i="1"/>
  <c r="K794" i="1"/>
  <c r="N794" i="1"/>
  <c r="Q794" i="1"/>
  <c r="R794" i="1"/>
  <c r="S794" i="1"/>
  <c r="V794" i="1"/>
  <c r="W794" i="1"/>
  <c r="AD794" i="1"/>
  <c r="O794" i="1"/>
  <c r="X794" i="1"/>
  <c r="Y794" i="1"/>
  <c r="Z794" i="1"/>
  <c r="AA794" i="1"/>
  <c r="AB794" i="1"/>
  <c r="AC794" i="1"/>
  <c r="AE794" i="1"/>
  <c r="AF794" i="1"/>
  <c r="P794" i="1"/>
  <c r="T794" i="1"/>
  <c r="U794" i="1"/>
  <c r="AG794" i="1"/>
  <c r="AH794" i="1"/>
  <c r="AI794" i="1"/>
  <c r="AJ794" i="1"/>
  <c r="AK794" i="1"/>
  <c r="AL794" i="1"/>
  <c r="AP794" i="1"/>
  <c r="AQ794" i="1"/>
  <c r="AM794" i="1"/>
  <c r="AN794" i="1"/>
  <c r="AR794" i="1"/>
  <c r="AS794" i="1"/>
  <c r="AU794" i="1"/>
  <c r="AV794" i="1"/>
  <c r="AY794" i="1"/>
  <c r="AZ794" i="1"/>
  <c r="BA794" i="1"/>
  <c r="BB794" i="1"/>
  <c r="BC794" i="1"/>
  <c r="BD794" i="1"/>
  <c r="BE794" i="1"/>
  <c r="BF794" i="1"/>
  <c r="BG794" i="1"/>
  <c r="BH794" i="1"/>
  <c r="BI794" i="1"/>
  <c r="AT794" i="1"/>
  <c r="BJ794" i="1"/>
  <c r="BK794" i="1"/>
  <c r="BL794" i="1"/>
  <c r="BN794" i="1"/>
  <c r="BO794" i="1"/>
  <c r="BP794" i="1"/>
  <c r="BQ794" i="1"/>
  <c r="H822" i="1"/>
  <c r="I822" i="1"/>
  <c r="J822" i="1"/>
  <c r="K822" i="1"/>
  <c r="N822" i="1"/>
  <c r="Q822" i="1"/>
  <c r="R822" i="1"/>
  <c r="S822" i="1"/>
  <c r="V822" i="1"/>
  <c r="W822" i="1"/>
  <c r="AD822" i="1"/>
  <c r="O822" i="1"/>
  <c r="X822" i="1"/>
  <c r="Y822" i="1"/>
  <c r="Z822" i="1"/>
  <c r="AA822" i="1"/>
  <c r="AB822" i="1"/>
  <c r="AC822" i="1"/>
  <c r="AE822" i="1"/>
  <c r="AF822" i="1"/>
  <c r="P822" i="1"/>
  <c r="T822" i="1"/>
  <c r="U822" i="1"/>
  <c r="AG822" i="1"/>
  <c r="AH822" i="1"/>
  <c r="AI822" i="1"/>
  <c r="AJ822" i="1"/>
  <c r="AK822" i="1"/>
  <c r="AL822" i="1"/>
  <c r="AP822" i="1"/>
  <c r="AQ822" i="1"/>
  <c r="AM822" i="1"/>
  <c r="AN822" i="1"/>
  <c r="AR822" i="1"/>
  <c r="AS822" i="1"/>
  <c r="AU822" i="1"/>
  <c r="AV822" i="1"/>
  <c r="AY822" i="1"/>
  <c r="AZ822" i="1"/>
  <c r="BA822" i="1"/>
  <c r="BB822" i="1"/>
  <c r="BC822" i="1"/>
  <c r="BD822" i="1"/>
  <c r="BE822" i="1"/>
  <c r="BF822" i="1"/>
  <c r="BG822" i="1"/>
  <c r="BH822" i="1"/>
  <c r="BI822" i="1"/>
  <c r="AT822" i="1"/>
  <c r="BJ822" i="1"/>
  <c r="BK822" i="1"/>
  <c r="BL822" i="1"/>
  <c r="BN822" i="1"/>
  <c r="BO822" i="1"/>
  <c r="BP822" i="1"/>
  <c r="BQ822" i="1"/>
  <c r="H839" i="1"/>
  <c r="I839" i="1"/>
  <c r="J839" i="1"/>
  <c r="K839" i="1"/>
  <c r="L839" i="1"/>
  <c r="M839" i="1"/>
  <c r="N839" i="1"/>
  <c r="Q839" i="1"/>
  <c r="R839" i="1"/>
  <c r="S839" i="1"/>
  <c r="V839" i="1"/>
  <c r="W839" i="1"/>
  <c r="AD839" i="1"/>
  <c r="O839" i="1"/>
  <c r="X839" i="1"/>
  <c r="Y839" i="1"/>
  <c r="Z839" i="1"/>
  <c r="AA839" i="1"/>
  <c r="AB839" i="1"/>
  <c r="AC839" i="1"/>
  <c r="AE839" i="1"/>
  <c r="AF839" i="1"/>
  <c r="P839" i="1"/>
  <c r="T839" i="1"/>
  <c r="U839" i="1"/>
  <c r="AG839" i="1"/>
  <c r="AH839" i="1"/>
  <c r="AI839" i="1"/>
  <c r="AJ839" i="1"/>
  <c r="AK839" i="1"/>
  <c r="AL839" i="1"/>
  <c r="AP839" i="1"/>
  <c r="AQ839" i="1"/>
  <c r="AM839" i="1"/>
  <c r="AN839" i="1"/>
  <c r="AR839" i="1"/>
  <c r="AS839" i="1"/>
  <c r="AU839" i="1"/>
  <c r="AV839" i="1"/>
  <c r="AY839" i="1"/>
  <c r="AZ839" i="1"/>
  <c r="BB839" i="1"/>
  <c r="BC839" i="1"/>
  <c r="BD839" i="1"/>
  <c r="BE839" i="1"/>
  <c r="BF839" i="1"/>
  <c r="BG839" i="1"/>
  <c r="BH839" i="1"/>
  <c r="BI839" i="1"/>
  <c r="BJ839" i="1"/>
  <c r="BK839" i="1"/>
  <c r="BL839" i="1"/>
  <c r="BN839" i="1"/>
  <c r="BO839" i="1"/>
  <c r="BP839" i="1"/>
  <c r="BQ839" i="1"/>
  <c r="H860" i="1"/>
  <c r="I860" i="1"/>
  <c r="J860" i="1"/>
  <c r="K860" i="1"/>
  <c r="L860" i="1"/>
  <c r="M860" i="1"/>
  <c r="N860" i="1"/>
  <c r="Q860" i="1"/>
  <c r="R860" i="1"/>
  <c r="S860" i="1"/>
  <c r="V860" i="1"/>
  <c r="AD860" i="1"/>
  <c r="O860" i="1"/>
  <c r="X860" i="1"/>
  <c r="Y860" i="1"/>
  <c r="Z860" i="1"/>
  <c r="AA860" i="1"/>
  <c r="AB860" i="1"/>
  <c r="AC860" i="1"/>
  <c r="AE860" i="1"/>
  <c r="AF860" i="1"/>
  <c r="P860" i="1"/>
  <c r="T860" i="1"/>
  <c r="U860" i="1"/>
  <c r="AG860" i="1"/>
  <c r="AH860" i="1"/>
  <c r="AI860" i="1"/>
  <c r="AJ860" i="1"/>
  <c r="AK860" i="1"/>
  <c r="AL860" i="1"/>
  <c r="AP860" i="1"/>
  <c r="AQ860" i="1"/>
  <c r="AM860" i="1"/>
  <c r="AN860" i="1"/>
  <c r="AR860" i="1"/>
  <c r="AS860" i="1"/>
  <c r="AU860" i="1"/>
  <c r="AV860" i="1"/>
  <c r="AW860" i="1"/>
  <c r="AY860" i="1"/>
  <c r="AZ860" i="1"/>
  <c r="BA860" i="1"/>
  <c r="BB860" i="1"/>
  <c r="BC860" i="1"/>
  <c r="BD860" i="1"/>
  <c r="BE860" i="1"/>
  <c r="BF860" i="1"/>
  <c r="BG860" i="1"/>
  <c r="BH860" i="1"/>
  <c r="BI860" i="1"/>
  <c r="AT860" i="1"/>
  <c r="BJ860" i="1"/>
  <c r="BK860" i="1"/>
  <c r="BL860" i="1"/>
  <c r="BN860" i="1"/>
  <c r="BO860" i="1"/>
  <c r="BP860" i="1"/>
  <c r="BQ860" i="1"/>
  <c r="H876" i="1"/>
  <c r="I876" i="1"/>
  <c r="J876" i="1"/>
  <c r="K876" i="1"/>
  <c r="N876" i="1"/>
  <c r="Q876" i="1"/>
  <c r="R876" i="1"/>
  <c r="S876" i="1"/>
  <c r="V876" i="1"/>
  <c r="W876" i="1"/>
  <c r="AD876" i="1"/>
  <c r="O876" i="1"/>
  <c r="X876" i="1"/>
  <c r="Y876" i="1"/>
  <c r="Z876" i="1"/>
  <c r="AA876" i="1"/>
  <c r="AB876" i="1"/>
  <c r="AC876" i="1"/>
  <c r="AE876" i="1"/>
  <c r="AF876" i="1"/>
  <c r="P876" i="1"/>
  <c r="T876" i="1"/>
  <c r="U876" i="1"/>
  <c r="AG876" i="1"/>
  <c r="AH876" i="1"/>
  <c r="AI876" i="1"/>
  <c r="AJ876" i="1"/>
  <c r="AK876" i="1"/>
  <c r="AL876" i="1"/>
  <c r="AP876" i="1"/>
  <c r="AQ876" i="1"/>
  <c r="AM876" i="1"/>
  <c r="AN876" i="1"/>
  <c r="AR876" i="1"/>
  <c r="AS876" i="1"/>
  <c r="AU876" i="1"/>
  <c r="AV876" i="1"/>
  <c r="AW876" i="1"/>
  <c r="AX876" i="1"/>
  <c r="AY876" i="1"/>
  <c r="AZ876" i="1"/>
  <c r="BA876" i="1"/>
  <c r="BB876" i="1"/>
  <c r="BC876" i="1"/>
  <c r="BD876" i="1"/>
  <c r="BE876" i="1"/>
  <c r="BF876" i="1"/>
  <c r="BG876" i="1"/>
  <c r="BH876" i="1"/>
  <c r="BI876" i="1"/>
  <c r="AT876" i="1"/>
  <c r="BJ876" i="1"/>
  <c r="BK876" i="1"/>
  <c r="BL876" i="1"/>
  <c r="BN876" i="1"/>
  <c r="BO876" i="1"/>
  <c r="BP876" i="1"/>
  <c r="F7" i="1"/>
  <c r="F8" i="1"/>
  <c r="F9" i="1"/>
  <c r="F11" i="1"/>
  <c r="F12" i="1"/>
  <c r="F13" i="1"/>
  <c r="F10" i="1"/>
  <c r="F14" i="1"/>
  <c r="F15" i="1"/>
  <c r="F17" i="1"/>
  <c r="F18" i="1"/>
  <c r="F19" i="1"/>
  <c r="F20" i="1"/>
  <c r="F21" i="1"/>
  <c r="F22" i="1"/>
  <c r="F23" i="1"/>
  <c r="F26" i="1"/>
  <c r="F27" i="1"/>
  <c r="F29" i="1"/>
  <c r="F30" i="1"/>
  <c r="F31" i="1"/>
  <c r="F32" i="1"/>
  <c r="F33" i="1"/>
  <c r="F34" i="1"/>
  <c r="F35" i="1"/>
  <c r="F36" i="1"/>
  <c r="F37" i="1"/>
  <c r="F39" i="1"/>
  <c r="F38" i="1"/>
  <c r="F40" i="1"/>
  <c r="F41" i="1"/>
  <c r="F42" i="1"/>
  <c r="F43" i="1"/>
  <c r="F44" i="1"/>
  <c r="F45" i="1"/>
  <c r="F47" i="1"/>
  <c r="F48" i="1"/>
  <c r="F49" i="1"/>
  <c r="F50" i="1"/>
  <c r="F51" i="1"/>
  <c r="F53" i="1"/>
  <c r="F54" i="1"/>
  <c r="F55" i="1"/>
  <c r="F56" i="1"/>
  <c r="F57" i="1"/>
  <c r="F58" i="1"/>
  <c r="F59" i="1"/>
  <c r="F60" i="1"/>
  <c r="F61" i="1"/>
  <c r="F62" i="1"/>
  <c r="F63" i="1"/>
  <c r="F64" i="1"/>
  <c r="F65" i="1"/>
  <c r="F67" i="1"/>
  <c r="F69" i="1"/>
  <c r="F70" i="1"/>
  <c r="F71" i="1"/>
  <c r="F72" i="1"/>
  <c r="F73" i="1"/>
  <c r="F75" i="1"/>
  <c r="F76" i="1"/>
  <c r="F77" i="1"/>
  <c r="F78" i="1"/>
  <c r="F79" i="1"/>
  <c r="F80" i="1"/>
  <c r="F81" i="1"/>
  <c r="F82" i="1"/>
  <c r="F83" i="1"/>
  <c r="F84" i="1"/>
  <c r="F85" i="1"/>
  <c r="F86" i="1"/>
  <c r="F87" i="1"/>
  <c r="F88" i="1"/>
  <c r="F90" i="1"/>
  <c r="F91" i="1"/>
  <c r="F92" i="1"/>
  <c r="F93" i="1"/>
  <c r="F94" i="1"/>
  <c r="F95" i="1"/>
  <c r="F96" i="1"/>
  <c r="F97" i="1"/>
  <c r="F98" i="1"/>
  <c r="F99" i="1"/>
  <c r="F101" i="1"/>
  <c r="F103" i="1"/>
  <c r="F104" i="1"/>
  <c r="F105" i="1"/>
  <c r="F106" i="1"/>
  <c r="F107" i="1"/>
  <c r="F108" i="1"/>
  <c r="F109" i="1"/>
  <c r="F110" i="1"/>
  <c r="F111" i="1"/>
  <c r="F113" i="1"/>
  <c r="F114" i="1"/>
  <c r="F115" i="1"/>
  <c r="F116" i="1"/>
  <c r="F117" i="1"/>
  <c r="F118" i="1"/>
  <c r="F119" i="1"/>
  <c r="F120" i="1"/>
  <c r="F121" i="1"/>
  <c r="F122" i="1"/>
  <c r="F123" i="1"/>
  <c r="F124" i="1"/>
  <c r="F125" i="1"/>
  <c r="F126" i="1"/>
  <c r="F127" i="1"/>
  <c r="F128" i="1"/>
  <c r="F129" i="1"/>
  <c r="F130" i="1"/>
  <c r="F131" i="1"/>
  <c r="F132" i="1"/>
  <c r="F133" i="1"/>
  <c r="F134" i="1"/>
  <c r="F136" i="1"/>
  <c r="F138" i="1"/>
  <c r="F139" i="1"/>
  <c r="F141" i="1"/>
  <c r="F142" i="1"/>
  <c r="F143" i="1"/>
  <c r="F144" i="1"/>
  <c r="F145" i="1"/>
  <c r="F146" i="1"/>
  <c r="F147" i="1"/>
  <c r="F148" i="1"/>
  <c r="F149" i="1"/>
  <c r="F150" i="1"/>
  <c r="F151" i="1"/>
  <c r="F152" i="1"/>
  <c r="F153" i="1"/>
  <c r="F154" i="1"/>
  <c r="F156" i="1"/>
  <c r="F157" i="1"/>
  <c r="F159" i="1"/>
  <c r="F160" i="1"/>
  <c r="F161" i="1"/>
  <c r="F162" i="1"/>
  <c r="F163" i="1"/>
  <c r="F164" i="1"/>
  <c r="F165" i="1"/>
  <c r="F166" i="1"/>
  <c r="F167" i="1"/>
  <c r="F168" i="1"/>
  <c r="F169" i="1"/>
  <c r="F170" i="1"/>
  <c r="F171" i="1"/>
  <c r="F173" i="1"/>
  <c r="F174" i="1"/>
  <c r="F176" i="1"/>
  <c r="F177" i="1"/>
  <c r="F178" i="1"/>
  <c r="F179" i="1"/>
  <c r="F180" i="1"/>
  <c r="F181" i="1"/>
  <c r="F182" i="1"/>
  <c r="F183" i="1"/>
  <c r="F184" i="1"/>
  <c r="F185" i="1"/>
  <c r="F186" i="1"/>
  <c r="F187" i="1"/>
  <c r="F189" i="1"/>
  <c r="F190" i="1"/>
  <c r="F191" i="1"/>
  <c r="F192" i="1"/>
  <c r="F193"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4" i="1"/>
  <c r="F236" i="1"/>
  <c r="F238" i="1"/>
  <c r="F239" i="1"/>
  <c r="F241" i="1"/>
  <c r="F243" i="1"/>
  <c r="F244" i="1"/>
  <c r="F245" i="1"/>
  <c r="F246" i="1"/>
  <c r="F247" i="1"/>
  <c r="F248" i="1"/>
  <c r="F249" i="1"/>
  <c r="F250" i="1"/>
  <c r="F251" i="1"/>
  <c r="F252" i="1"/>
  <c r="F253" i="1"/>
  <c r="F254" i="1"/>
  <c r="F255" i="1"/>
  <c r="F256" i="1"/>
  <c r="F257" i="1"/>
  <c r="F259" i="1"/>
  <c r="F260" i="1"/>
  <c r="F261" i="1"/>
  <c r="F262" i="1"/>
  <c r="F263" i="1"/>
  <c r="F265" i="1"/>
  <c r="F266" i="1"/>
  <c r="F267" i="1"/>
  <c r="F268" i="1"/>
  <c r="F270" i="1"/>
  <c r="F271" i="1"/>
  <c r="F272" i="1"/>
  <c r="F273" i="1"/>
  <c r="F274" i="1"/>
  <c r="F275" i="1"/>
  <c r="F276" i="1"/>
  <c r="F277" i="1"/>
  <c r="F278" i="1"/>
  <c r="F279" i="1"/>
  <c r="F280" i="1"/>
  <c r="F282" i="1"/>
  <c r="F283" i="1"/>
  <c r="F284" i="1"/>
  <c r="F285" i="1"/>
  <c r="F286" i="1"/>
  <c r="F287" i="1"/>
  <c r="F288" i="1"/>
  <c r="F289" i="1"/>
  <c r="F290" i="1"/>
  <c r="F291" i="1"/>
  <c r="F292" i="1"/>
  <c r="F293" i="1"/>
  <c r="F294" i="1"/>
  <c r="F295" i="1"/>
  <c r="F296" i="1"/>
  <c r="F297" i="1"/>
  <c r="F298" i="1"/>
  <c r="F299" i="1"/>
  <c r="F300" i="1"/>
  <c r="F301" i="1"/>
  <c r="F302" i="1"/>
  <c r="F304" i="1"/>
  <c r="F305" i="1"/>
  <c r="F306" i="1"/>
  <c r="F307" i="1"/>
  <c r="F308" i="1"/>
  <c r="F310" i="1"/>
  <c r="F311" i="1"/>
  <c r="F312" i="1"/>
  <c r="F314" i="1"/>
  <c r="F315" i="1"/>
  <c r="F316" i="1"/>
  <c r="F317" i="1"/>
  <c r="F318" i="1"/>
  <c r="F319" i="1"/>
  <c r="F321" i="1"/>
  <c r="F322" i="1"/>
  <c r="F323" i="1"/>
  <c r="F324" i="1"/>
  <c r="F326" i="1"/>
  <c r="F327" i="1"/>
  <c r="F328" i="1"/>
  <c r="F329" i="1"/>
  <c r="F331" i="1"/>
  <c r="F332" i="1"/>
  <c r="F333" i="1"/>
  <c r="F334" i="1"/>
  <c r="F335" i="1"/>
  <c r="F336" i="1"/>
  <c r="F337" i="1"/>
  <c r="F338" i="1"/>
  <c r="F339" i="1"/>
  <c r="F340" i="1"/>
  <c r="F341" i="1"/>
  <c r="F343" i="1"/>
  <c r="F344" i="1"/>
  <c r="F345" i="1"/>
  <c r="F346" i="1"/>
  <c r="F347" i="1"/>
  <c r="F348" i="1"/>
  <c r="F350" i="1"/>
  <c r="F351" i="1"/>
  <c r="F352" i="1"/>
  <c r="F353" i="1"/>
  <c r="F354" i="1"/>
  <c r="F355" i="1"/>
  <c r="F356" i="1"/>
  <c r="F357" i="1"/>
  <c r="F358" i="1"/>
  <c r="F359" i="1"/>
  <c r="F360" i="1"/>
  <c r="F361" i="1"/>
  <c r="F362" i="1"/>
  <c r="F363" i="1"/>
  <c r="F364" i="1"/>
  <c r="F365" i="1"/>
  <c r="F366" i="1"/>
  <c r="F368" i="1"/>
  <c r="F369" i="1"/>
  <c r="F370" i="1"/>
  <c r="F371" i="1"/>
  <c r="F372" i="1"/>
  <c r="F375" i="1"/>
  <c r="F376" i="1"/>
  <c r="F377" i="1"/>
  <c r="F378" i="1"/>
  <c r="F379" i="1"/>
  <c r="F380" i="1"/>
  <c r="F381" i="1"/>
  <c r="F383" i="1"/>
  <c r="F384" i="1"/>
  <c r="F385" i="1"/>
  <c r="F386" i="1"/>
  <c r="F387" i="1"/>
  <c r="F388" i="1"/>
  <c r="F389" i="1"/>
  <c r="F390" i="1"/>
  <c r="F391" i="1"/>
  <c r="F392" i="1"/>
  <c r="F394" i="1"/>
  <c r="F395" i="1"/>
  <c r="F396" i="1"/>
  <c r="F399" i="1"/>
  <c r="F400" i="1"/>
  <c r="F402" i="1"/>
  <c r="F403" i="1"/>
  <c r="F404" i="1"/>
  <c r="F405" i="1"/>
  <c r="F406" i="1"/>
  <c r="F407" i="1"/>
  <c r="F408" i="1"/>
  <c r="F409" i="1"/>
  <c r="F410" i="1"/>
  <c r="F411" i="1"/>
  <c r="F412" i="1"/>
  <c r="F413" i="1"/>
  <c r="F414" i="1"/>
  <c r="F415" i="1"/>
  <c r="F416" i="1"/>
  <c r="F418" i="1"/>
  <c r="F420" i="1"/>
  <c r="F421" i="1"/>
  <c r="F422" i="1"/>
  <c r="F423" i="1"/>
  <c r="F425" i="1"/>
  <c r="F426" i="1"/>
  <c r="F427" i="1"/>
  <c r="F428" i="1"/>
  <c r="F429" i="1"/>
  <c r="F430" i="1"/>
  <c r="F431" i="1"/>
  <c r="F432" i="1"/>
  <c r="F433" i="1"/>
  <c r="F434" i="1"/>
  <c r="F435" i="1"/>
  <c r="F436" i="1"/>
  <c r="F438" i="1"/>
  <c r="F439" i="1"/>
  <c r="F440" i="1"/>
  <c r="F441" i="1"/>
  <c r="F442" i="1"/>
  <c r="F443" i="1"/>
  <c r="F444" i="1"/>
  <c r="F445" i="1"/>
  <c r="F446" i="1"/>
  <c r="F447" i="1"/>
  <c r="F448" i="1"/>
  <c r="F450" i="1"/>
  <c r="F451" i="1"/>
  <c r="F452" i="1"/>
  <c r="F453" i="1"/>
  <c r="F454" i="1"/>
  <c r="F455" i="1"/>
  <c r="F458" i="1"/>
  <c r="F460" i="1"/>
  <c r="F461" i="1"/>
  <c r="F466" i="1"/>
  <c r="F467" i="1"/>
  <c r="F468" i="1"/>
  <c r="F470" i="1"/>
  <c r="F471" i="1"/>
  <c r="F472" i="1"/>
  <c r="F473" i="1"/>
  <c r="F474" i="1"/>
  <c r="F475" i="1"/>
  <c r="F476" i="1"/>
  <c r="F480" i="1"/>
  <c r="F481" i="1"/>
  <c r="F482" i="1"/>
  <c r="F483" i="1"/>
  <c r="F486" i="1"/>
  <c r="F487" i="1"/>
  <c r="F488" i="1"/>
  <c r="F489" i="1"/>
  <c r="F490" i="1"/>
  <c r="F491" i="1"/>
  <c r="F492" i="1"/>
  <c r="F493" i="1"/>
  <c r="F494" i="1"/>
  <c r="F495" i="1"/>
  <c r="F496" i="1"/>
  <c r="F497" i="1"/>
  <c r="F498" i="1"/>
  <c r="F499"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1" i="1"/>
  <c r="F542" i="1"/>
  <c r="F543" i="1"/>
  <c r="F544" i="1"/>
  <c r="F545" i="1"/>
  <c r="F546" i="1"/>
  <c r="F547" i="1"/>
  <c r="F548" i="1"/>
  <c r="F549" i="1"/>
  <c r="F550" i="1"/>
  <c r="F552" i="1"/>
  <c r="F554" i="1"/>
  <c r="F555" i="1"/>
  <c r="F556" i="1"/>
  <c r="F557" i="1"/>
  <c r="F559" i="1"/>
  <c r="F561" i="1"/>
  <c r="F562" i="1"/>
  <c r="F564" i="1"/>
  <c r="F565" i="1"/>
  <c r="F566" i="1"/>
  <c r="F567" i="1"/>
  <c r="F568" i="1"/>
  <c r="F569" i="1"/>
  <c r="F570" i="1"/>
  <c r="F571" i="1"/>
  <c r="F572" i="1"/>
  <c r="F573" i="1"/>
  <c r="F575" i="1"/>
  <c r="F576" i="1"/>
  <c r="F577"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9" i="1"/>
  <c r="F631" i="1"/>
  <c r="F632" i="1"/>
  <c r="F634" i="1"/>
  <c r="F635" i="1"/>
  <c r="F636" i="1"/>
  <c r="F637" i="1"/>
  <c r="F638" i="1"/>
  <c r="F640" i="1"/>
  <c r="F642" i="1"/>
  <c r="F643" i="1"/>
  <c r="F644" i="1"/>
  <c r="F645" i="1"/>
  <c r="F646" i="1"/>
  <c r="F647" i="1"/>
  <c r="F650" i="1"/>
  <c r="F651" i="1"/>
  <c r="F652" i="1"/>
  <c r="F653" i="1"/>
  <c r="F654" i="1"/>
  <c r="F655" i="1"/>
  <c r="F656" i="1"/>
  <c r="F658" i="1"/>
  <c r="F659" i="1"/>
  <c r="F660" i="1"/>
  <c r="F661" i="1"/>
  <c r="F662" i="1"/>
  <c r="F663" i="1"/>
  <c r="F664" i="1"/>
  <c r="F665" i="1"/>
  <c r="F666" i="1"/>
  <c r="F667" i="1"/>
  <c r="F668" i="1"/>
  <c r="F669" i="1"/>
  <c r="F670" i="1"/>
  <c r="F671" i="1"/>
  <c r="F672" i="1"/>
  <c r="F673" i="1"/>
  <c r="F674" i="1"/>
  <c r="F677" i="1"/>
  <c r="F678" i="1"/>
  <c r="F679" i="1"/>
  <c r="F681" i="1"/>
  <c r="F684" i="1"/>
  <c r="F685" i="1"/>
  <c r="F686" i="1"/>
  <c r="F687" i="1"/>
  <c r="F688" i="1"/>
  <c r="F689" i="1"/>
  <c r="F690" i="1"/>
  <c r="F691" i="1"/>
  <c r="F692" i="1"/>
  <c r="F693" i="1"/>
  <c r="F694" i="1"/>
  <c r="F695" i="1"/>
  <c r="F696" i="1"/>
  <c r="F697" i="1"/>
  <c r="F698" i="1"/>
  <c r="F699" i="1"/>
  <c r="F700" i="1"/>
  <c r="F701" i="1"/>
  <c r="F702" i="1"/>
  <c r="F703" i="1"/>
  <c r="F704" i="1"/>
  <c r="F705" i="1"/>
  <c r="F706" i="1"/>
  <c r="F707" i="1"/>
  <c r="F709" i="1"/>
  <c r="F710" i="1"/>
  <c r="F711" i="1"/>
  <c r="F712" i="1"/>
  <c r="F713" i="1"/>
  <c r="F714" i="1"/>
  <c r="F716" i="1"/>
  <c r="F717" i="1"/>
  <c r="F718" i="1"/>
  <c r="F719" i="1"/>
  <c r="F720" i="1"/>
  <c r="F721" i="1"/>
  <c r="F722" i="1"/>
  <c r="F723" i="1"/>
  <c r="F724" i="1"/>
  <c r="F725" i="1"/>
  <c r="F726" i="1"/>
  <c r="F727" i="1"/>
  <c r="F728" i="1"/>
  <c r="F729" i="1"/>
  <c r="F730" i="1"/>
  <c r="F731" i="1"/>
  <c r="F734" i="1"/>
  <c r="F735" i="1"/>
  <c r="F736" i="1"/>
  <c r="F737" i="1"/>
  <c r="F739" i="1"/>
  <c r="F740" i="1"/>
  <c r="F741" i="1"/>
  <c r="F742" i="1"/>
  <c r="F743" i="1"/>
  <c r="F744" i="1"/>
  <c r="F745" i="1"/>
  <c r="F746" i="1"/>
  <c r="F747" i="1"/>
  <c r="F748" i="1"/>
  <c r="F749" i="1"/>
  <c r="F750" i="1"/>
  <c r="F751" i="1"/>
  <c r="F752" i="1"/>
  <c r="F753" i="1"/>
  <c r="F754" i="1"/>
  <c r="F755" i="1"/>
  <c r="F757" i="1"/>
  <c r="F758" i="1"/>
  <c r="F761" i="1"/>
  <c r="F762" i="1"/>
  <c r="F763" i="1"/>
  <c r="F766" i="1"/>
  <c r="F767" i="1"/>
  <c r="F768" i="1"/>
  <c r="F769" i="1"/>
  <c r="F770" i="1"/>
  <c r="F771" i="1"/>
  <c r="F772" i="1"/>
  <c r="F773" i="1"/>
  <c r="F774" i="1"/>
  <c r="F775" i="1"/>
  <c r="F776" i="1"/>
  <c r="F777" i="1"/>
  <c r="F778" i="1"/>
  <c r="F780" i="1"/>
  <c r="F781" i="1"/>
  <c r="F782" i="1"/>
  <c r="F783" i="1"/>
  <c r="F784" i="1"/>
  <c r="F785" i="1"/>
  <c r="F786" i="1"/>
  <c r="F787" i="1"/>
  <c r="F789" i="1"/>
  <c r="F790" i="1"/>
  <c r="F792" i="1"/>
  <c r="F793" i="1"/>
  <c r="F795" i="1"/>
  <c r="F796" i="1"/>
  <c r="F797" i="1"/>
  <c r="F798" i="1"/>
  <c r="F799" i="1"/>
  <c r="F800" i="1"/>
  <c r="F801" i="1"/>
  <c r="F802" i="1"/>
  <c r="F803" i="1"/>
  <c r="F804" i="1"/>
  <c r="F805" i="1"/>
  <c r="F807" i="1"/>
  <c r="F809" i="1"/>
  <c r="F810" i="1"/>
  <c r="F811" i="1"/>
  <c r="F812" i="1"/>
  <c r="F813" i="1"/>
  <c r="F817" i="1"/>
  <c r="F819" i="1"/>
  <c r="F820" i="1"/>
  <c r="F821" i="1"/>
  <c r="F823" i="1"/>
  <c r="F824" i="1"/>
  <c r="F825" i="1"/>
  <c r="F826" i="1"/>
  <c r="F827" i="1"/>
  <c r="F828" i="1"/>
  <c r="F829" i="1"/>
  <c r="F830" i="1"/>
  <c r="F831" i="1"/>
  <c r="F832" i="1"/>
  <c r="F833" i="1"/>
  <c r="F834" i="1"/>
  <c r="F835" i="1"/>
  <c r="F837" i="1"/>
  <c r="F838" i="1"/>
  <c r="F840" i="1"/>
  <c r="F841" i="1"/>
  <c r="E841" i="1" s="1"/>
  <c r="F842" i="1"/>
  <c r="E842" i="1" s="1"/>
  <c r="F843" i="1"/>
  <c r="E843" i="1" s="1"/>
  <c r="F844" i="1"/>
  <c r="E844" i="1" s="1"/>
  <c r="F845" i="1"/>
  <c r="E845" i="1" s="1"/>
  <c r="F846" i="1"/>
  <c r="F847" i="1"/>
  <c r="E847" i="1" s="1"/>
  <c r="F848" i="1"/>
  <c r="E848" i="1" s="1"/>
  <c r="F849" i="1"/>
  <c r="E849" i="1" s="1"/>
  <c r="F850" i="1"/>
  <c r="E850" i="1" s="1"/>
  <c r="F851" i="1"/>
  <c r="E851" i="1" s="1"/>
  <c r="F852" i="1"/>
  <c r="E852" i="1" s="1"/>
  <c r="F853" i="1"/>
  <c r="E853" i="1" s="1"/>
  <c r="F854" i="1"/>
  <c r="E854" i="1" s="1"/>
  <c r="F855" i="1"/>
  <c r="E855" i="1" s="1"/>
  <c r="F856" i="1"/>
  <c r="F857" i="1"/>
  <c r="E857" i="1" s="1"/>
  <c r="F858" i="1"/>
  <c r="E858" i="1" s="1"/>
  <c r="F859" i="1"/>
  <c r="E859" i="1" s="1"/>
  <c r="F861" i="1"/>
  <c r="F862" i="1"/>
  <c r="E862" i="1" s="1"/>
  <c r="F864" i="1"/>
  <c r="E864" i="1" s="1"/>
  <c r="F865" i="1"/>
  <c r="E865" i="1" s="1"/>
  <c r="F866" i="1"/>
  <c r="E866" i="1" s="1"/>
  <c r="F867" i="1"/>
  <c r="E867" i="1" s="1"/>
  <c r="F868" i="1"/>
  <c r="E868" i="1" s="1"/>
  <c r="F869" i="1"/>
  <c r="E869" i="1" s="1"/>
  <c r="F870" i="1"/>
  <c r="E870" i="1" s="1"/>
  <c r="F871" i="1"/>
  <c r="E871" i="1" s="1"/>
  <c r="F872" i="1"/>
  <c r="E872" i="1" s="1"/>
  <c r="F873" i="1"/>
  <c r="E873" i="1" s="1"/>
  <c r="F874" i="1"/>
  <c r="E874" i="1" s="1"/>
  <c r="F875" i="1"/>
  <c r="E875" i="1" s="1"/>
  <c r="E147" i="1" l="1"/>
  <c r="E139" i="1"/>
  <c r="E133" i="1"/>
  <c r="E127" i="1"/>
  <c r="E121" i="1"/>
  <c r="E115" i="1"/>
  <c r="E103" i="1"/>
  <c r="E98" i="1"/>
  <c r="E92" i="1"/>
  <c r="E86" i="1"/>
  <c r="E80" i="1"/>
  <c r="E73" i="1"/>
  <c r="E57" i="1"/>
  <c r="F419" i="1"/>
  <c r="F269" i="1"/>
  <c r="F155" i="1"/>
  <c r="E647" i="1"/>
  <c r="E644" i="1"/>
  <c r="E638" i="1"/>
  <c r="E635" i="1"/>
  <c r="E632" i="1"/>
  <c r="E629" i="1"/>
  <c r="E626" i="1"/>
  <c r="E623" i="1"/>
  <c r="E617" i="1"/>
  <c r="E614" i="1"/>
  <c r="E611" i="1"/>
  <c r="E608" i="1"/>
  <c r="E605" i="1"/>
  <c r="E599" i="1"/>
  <c r="E593" i="1"/>
  <c r="E590" i="1"/>
  <c r="E587" i="1"/>
  <c r="E581" i="1"/>
  <c r="E571" i="1"/>
  <c r="E565" i="1"/>
  <c r="E562" i="1"/>
  <c r="E559" i="1"/>
  <c r="E556" i="1"/>
  <c r="E109" i="1"/>
  <c r="E548" i="1"/>
  <c r="E542" i="1"/>
  <c r="E539" i="1"/>
  <c r="E533" i="1"/>
  <c r="E530" i="1"/>
  <c r="E527" i="1"/>
  <c r="E524" i="1"/>
  <c r="E521" i="1"/>
  <c r="E518" i="1"/>
  <c r="E515" i="1"/>
  <c r="E512" i="1"/>
  <c r="E509" i="1"/>
  <c r="E506" i="1"/>
  <c r="E503" i="1"/>
  <c r="E498" i="1"/>
  <c r="E495" i="1"/>
  <c r="E492" i="1"/>
  <c r="E489" i="1"/>
  <c r="E480" i="1"/>
  <c r="E474" i="1"/>
  <c r="E471" i="1"/>
  <c r="E467" i="1"/>
  <c r="E458" i="1"/>
  <c r="E446" i="1"/>
  <c r="E443" i="1"/>
  <c r="E440" i="1"/>
  <c r="E434" i="1"/>
  <c r="E431" i="1"/>
  <c r="E428" i="1"/>
  <c r="E412" i="1"/>
  <c r="E409" i="1"/>
  <c r="E406" i="1"/>
  <c r="E278" i="1"/>
  <c r="E275" i="1"/>
  <c r="E272" i="1"/>
  <c r="E267" i="1"/>
  <c r="E263" i="1"/>
  <c r="E260" i="1"/>
  <c r="E257" i="1"/>
  <c r="E254" i="1"/>
  <c r="E251" i="1"/>
  <c r="E248" i="1"/>
  <c r="E245" i="1"/>
  <c r="E241" i="1"/>
  <c r="E154" i="1"/>
  <c r="E153" i="1"/>
  <c r="E193" i="1"/>
  <c r="E187" i="1"/>
  <c r="E184" i="1"/>
  <c r="E181" i="1"/>
  <c r="E178" i="1"/>
  <c r="E173" i="1"/>
  <c r="E170" i="1"/>
  <c r="E167" i="1"/>
  <c r="E164" i="1"/>
  <c r="E161" i="1"/>
  <c r="E151" i="1"/>
  <c r="E148" i="1"/>
  <c r="E145" i="1"/>
  <c r="E142" i="1"/>
  <c r="E138" i="1"/>
  <c r="E132" i="1"/>
  <c r="E129" i="1"/>
  <c r="E126" i="1"/>
  <c r="E123" i="1"/>
  <c r="E120" i="1"/>
  <c r="E117" i="1"/>
  <c r="E114" i="1"/>
  <c r="E111" i="1"/>
  <c r="E108" i="1"/>
  <c r="E105" i="1"/>
  <c r="E97" i="1"/>
  <c r="E94" i="1"/>
  <c r="E91" i="1"/>
  <c r="E88" i="1"/>
  <c r="E85" i="1"/>
  <c r="E82" i="1"/>
  <c r="E76" i="1"/>
  <c r="E72" i="1"/>
  <c r="E65" i="1"/>
  <c r="E62" i="1"/>
  <c r="E59" i="1"/>
  <c r="E56" i="1"/>
  <c r="E134" i="1"/>
  <c r="E131" i="1"/>
  <c r="E128" i="1"/>
  <c r="E122" i="1"/>
  <c r="E119" i="1"/>
  <c r="E116" i="1"/>
  <c r="E113" i="1"/>
  <c r="E110" i="1"/>
  <c r="E107" i="1"/>
  <c r="E99" i="1"/>
  <c r="E96" i="1"/>
  <c r="E93" i="1"/>
  <c r="E90" i="1"/>
  <c r="E87" i="1"/>
  <c r="E84" i="1"/>
  <c r="E78" i="1"/>
  <c r="E75" i="1"/>
  <c r="E71" i="1"/>
  <c r="E67" i="1"/>
  <c r="E64" i="1"/>
  <c r="E61" i="1"/>
  <c r="E58" i="1"/>
  <c r="E55" i="1"/>
  <c r="E594" i="1"/>
  <c r="E591" i="1"/>
  <c r="E588" i="1"/>
  <c r="E585" i="1"/>
  <c r="E582" i="1"/>
  <c r="E579" i="1"/>
  <c r="E576" i="1"/>
  <c r="E572" i="1"/>
  <c r="E569" i="1"/>
  <c r="E566" i="1"/>
  <c r="E557" i="1"/>
  <c r="E552" i="1"/>
  <c r="E549" i="1"/>
  <c r="E645" i="1"/>
  <c r="E612" i="1"/>
  <c r="E603" i="1"/>
  <c r="E646" i="1"/>
  <c r="E643" i="1"/>
  <c r="E637" i="1"/>
  <c r="E634" i="1"/>
  <c r="E631" i="1"/>
  <c r="E625" i="1"/>
  <c r="E622" i="1"/>
  <c r="E616" i="1"/>
  <c r="E613" i="1"/>
  <c r="E610" i="1"/>
  <c r="E607" i="1"/>
  <c r="E604" i="1"/>
  <c r="E601" i="1"/>
  <c r="E598" i="1"/>
  <c r="E595" i="1"/>
  <c r="E592" i="1"/>
  <c r="E589" i="1"/>
  <c r="E586" i="1"/>
  <c r="E583" i="1"/>
  <c r="E580" i="1"/>
  <c r="E577" i="1"/>
  <c r="E573" i="1"/>
  <c r="E570" i="1"/>
  <c r="E567" i="1"/>
  <c r="F574" i="1"/>
  <c r="E561" i="1"/>
  <c r="E555" i="1"/>
  <c r="E550" i="1"/>
  <c r="E547" i="1"/>
  <c r="E544" i="1"/>
  <c r="E541" i="1"/>
  <c r="E532" i="1"/>
  <c r="E529" i="1"/>
  <c r="E526" i="1"/>
  <c r="E523" i="1"/>
  <c r="E520" i="1"/>
  <c r="E517" i="1"/>
  <c r="E514" i="1"/>
  <c r="E511" i="1"/>
  <c r="E508" i="1"/>
  <c r="E505" i="1"/>
  <c r="E502" i="1"/>
  <c r="E642" i="1"/>
  <c r="E636" i="1"/>
  <c r="E627" i="1"/>
  <c r="E618" i="1"/>
  <c r="E609" i="1"/>
  <c r="E600" i="1"/>
  <c r="E624" i="1"/>
  <c r="E615" i="1"/>
  <c r="E606" i="1"/>
  <c r="E597" i="1"/>
  <c r="E494" i="1"/>
  <c r="E491" i="1"/>
  <c r="E488" i="1"/>
  <c r="E482" i="1"/>
  <c r="E470" i="1"/>
  <c r="E460" i="1"/>
  <c r="E448" i="1"/>
  <c r="E445" i="1"/>
  <c r="E442" i="1"/>
  <c r="E439" i="1"/>
  <c r="E436" i="1"/>
  <c r="E433" i="1"/>
  <c r="E430" i="1"/>
  <c r="E427" i="1"/>
  <c r="E423" i="1"/>
  <c r="F424" i="1"/>
  <c r="E411" i="1"/>
  <c r="E408" i="1"/>
  <c r="E405" i="1"/>
  <c r="E280" i="1"/>
  <c r="E277" i="1"/>
  <c r="E262" i="1"/>
  <c r="E259" i="1"/>
  <c r="E256" i="1"/>
  <c r="E253" i="1"/>
  <c r="E250" i="1"/>
  <c r="E247" i="1"/>
  <c r="E244" i="1"/>
  <c r="E192" i="1"/>
  <c r="E186" i="1"/>
  <c r="E183" i="1"/>
  <c r="E180" i="1"/>
  <c r="E169" i="1"/>
  <c r="E166" i="1"/>
  <c r="E150" i="1"/>
  <c r="E144" i="1"/>
  <c r="E546" i="1"/>
  <c r="E543" i="1"/>
  <c r="E534" i="1"/>
  <c r="E531" i="1"/>
  <c r="E528" i="1"/>
  <c r="E525" i="1"/>
  <c r="E522" i="1"/>
  <c r="E519" i="1"/>
  <c r="E516" i="1"/>
  <c r="E513" i="1"/>
  <c r="E510" i="1"/>
  <c r="E507" i="1"/>
  <c r="E504" i="1"/>
  <c r="E499" i="1"/>
  <c r="E493" i="1"/>
  <c r="E490" i="1"/>
  <c r="F500" i="1"/>
  <c r="E487" i="1"/>
  <c r="E475" i="1"/>
  <c r="E472" i="1"/>
  <c r="E468" i="1"/>
  <c r="E450" i="1"/>
  <c r="E447" i="1"/>
  <c r="E444" i="1"/>
  <c r="E441" i="1"/>
  <c r="E438" i="1"/>
  <c r="E435" i="1"/>
  <c r="E432" i="1"/>
  <c r="E429" i="1"/>
  <c r="E426" i="1"/>
  <c r="E422" i="1"/>
  <c r="E416" i="1"/>
  <c r="E413" i="1"/>
  <c r="E410" i="1"/>
  <c r="E407" i="1"/>
  <c r="E404" i="1"/>
  <c r="E395" i="1"/>
  <c r="E392" i="1"/>
  <c r="E389" i="1"/>
  <c r="E386" i="1"/>
  <c r="E383" i="1"/>
  <c r="E380" i="1"/>
  <c r="E377" i="1"/>
  <c r="E366" i="1"/>
  <c r="E360" i="1"/>
  <c r="E357" i="1"/>
  <c r="E354" i="1"/>
  <c r="E351" i="1"/>
  <c r="E348" i="1"/>
  <c r="E345" i="1"/>
  <c r="E339" i="1"/>
  <c r="E336" i="1"/>
  <c r="E333" i="1"/>
  <c r="E327" i="1"/>
  <c r="E324" i="1"/>
  <c r="E321" i="1"/>
  <c r="E318" i="1"/>
  <c r="E311" i="1"/>
  <c r="E308" i="1"/>
  <c r="E299" i="1"/>
  <c r="E296" i="1"/>
  <c r="E293" i="1"/>
  <c r="E290" i="1"/>
  <c r="E287" i="1"/>
  <c r="E284" i="1"/>
  <c r="E279" i="1"/>
  <c r="E276" i="1"/>
  <c r="E273" i="1"/>
  <c r="F281" i="1"/>
  <c r="E268" i="1"/>
  <c r="E261" i="1"/>
  <c r="E255" i="1"/>
  <c r="E252" i="1"/>
  <c r="E249" i="1"/>
  <c r="E246" i="1"/>
  <c r="E243" i="1"/>
  <c r="F194" i="1"/>
  <c r="E191" i="1"/>
  <c r="E182" i="1"/>
  <c r="F188" i="1"/>
  <c r="E179" i="1"/>
  <c r="E174" i="1"/>
  <c r="E168" i="1"/>
  <c r="E165" i="1"/>
  <c r="E162" i="1"/>
  <c r="E159" i="1"/>
  <c r="E152" i="1"/>
  <c r="E149" i="1"/>
  <c r="E146" i="1"/>
  <c r="E143" i="1"/>
  <c r="E136" i="1"/>
  <c r="E124" i="1"/>
  <c r="E118" i="1"/>
  <c r="E106" i="1"/>
  <c r="E83" i="1"/>
  <c r="E77" i="1"/>
  <c r="E60" i="1"/>
  <c r="E157" i="1"/>
  <c r="E400" i="1"/>
  <c r="E391" i="1"/>
  <c r="E388" i="1"/>
  <c r="E385" i="1"/>
  <c r="E379" i="1"/>
  <c r="E376" i="1"/>
  <c r="F373" i="1"/>
  <c r="E362" i="1"/>
  <c r="E359" i="1"/>
  <c r="E356" i="1"/>
  <c r="E353" i="1"/>
  <c r="E350" i="1"/>
  <c r="E347" i="1"/>
  <c r="E344" i="1"/>
  <c r="E341" i="1"/>
  <c r="E338" i="1"/>
  <c r="E335" i="1"/>
  <c r="E329" i="1"/>
  <c r="E326" i="1"/>
  <c r="E323" i="1"/>
  <c r="E317" i="1"/>
  <c r="E310" i="1"/>
  <c r="E304" i="1"/>
  <c r="E298" i="1"/>
  <c r="E295" i="1"/>
  <c r="E292" i="1"/>
  <c r="E289" i="1"/>
  <c r="E286" i="1"/>
  <c r="F417" i="1"/>
  <c r="E399" i="1"/>
  <c r="E396" i="1"/>
  <c r="E390" i="1"/>
  <c r="E387" i="1"/>
  <c r="E384" i="1"/>
  <c r="E381" i="1"/>
  <c r="E378" i="1"/>
  <c r="E364" i="1"/>
  <c r="E361" i="1"/>
  <c r="E358" i="1"/>
  <c r="E355" i="1"/>
  <c r="E352" i="1"/>
  <c r="E346" i="1"/>
  <c r="E343" i="1"/>
  <c r="E340" i="1"/>
  <c r="E337" i="1"/>
  <c r="E334" i="1"/>
  <c r="E328" i="1"/>
  <c r="E322" i="1"/>
  <c r="E319" i="1"/>
  <c r="E316" i="1"/>
  <c r="E306" i="1"/>
  <c r="E300" i="1"/>
  <c r="E297" i="1"/>
  <c r="E294" i="1"/>
  <c r="E291" i="1"/>
  <c r="E288" i="1"/>
  <c r="E285" i="1"/>
  <c r="E104" i="1"/>
  <c r="E838" i="1"/>
  <c r="E835" i="1"/>
  <c r="E829" i="1"/>
  <c r="E826" i="1"/>
  <c r="E793" i="1"/>
  <c r="E790" i="1"/>
  <c r="E787" i="1"/>
  <c r="E784" i="1"/>
  <c r="E781" i="1"/>
  <c r="E778" i="1"/>
  <c r="E775" i="1"/>
  <c r="E772" i="1"/>
  <c r="E769" i="1"/>
  <c r="E747" i="1"/>
  <c r="E735" i="1"/>
  <c r="E729" i="1"/>
  <c r="E726" i="1"/>
  <c r="E723" i="1"/>
  <c r="E720" i="1"/>
  <c r="E714" i="1"/>
  <c r="E711" i="1"/>
  <c r="E706" i="1"/>
  <c r="E703" i="1"/>
  <c r="E700" i="1"/>
  <c r="E697" i="1"/>
  <c r="E694" i="1"/>
  <c r="E691" i="1"/>
  <c r="E688" i="1"/>
  <c r="E681" i="1"/>
  <c r="E678" i="1"/>
  <c r="E672" i="1"/>
  <c r="E669" i="1"/>
  <c r="E666" i="1"/>
  <c r="E663" i="1"/>
  <c r="E660" i="1"/>
  <c r="E655" i="1"/>
  <c r="E652" i="1"/>
  <c r="E837" i="1"/>
  <c r="E834" i="1"/>
  <c r="E828" i="1"/>
  <c r="E825" i="1"/>
  <c r="E789" i="1"/>
  <c r="E786" i="1"/>
  <c r="E783" i="1"/>
  <c r="E780" i="1"/>
  <c r="E774" i="1"/>
  <c r="E771" i="1"/>
  <c r="E768" i="1"/>
  <c r="E737" i="1"/>
  <c r="E734" i="1"/>
  <c r="E731" i="1"/>
  <c r="E728" i="1"/>
  <c r="E725" i="1"/>
  <c r="E722" i="1"/>
  <c r="E719" i="1"/>
  <c r="E716" i="1"/>
  <c r="E713" i="1"/>
  <c r="E710" i="1"/>
  <c r="E699" i="1"/>
  <c r="E696" i="1"/>
  <c r="E693" i="1"/>
  <c r="E690" i="1"/>
  <c r="E687" i="1"/>
  <c r="E677" i="1"/>
  <c r="E674" i="1"/>
  <c r="E671" i="1"/>
  <c r="E668" i="1"/>
  <c r="E665" i="1"/>
  <c r="E662" i="1"/>
  <c r="E659" i="1"/>
  <c r="F657" i="1"/>
  <c r="E651" i="1"/>
  <c r="E833" i="1"/>
  <c r="E830" i="1"/>
  <c r="E827" i="1"/>
  <c r="E785" i="1"/>
  <c r="E782" i="1"/>
  <c r="E776" i="1"/>
  <c r="E773" i="1"/>
  <c r="E770" i="1"/>
  <c r="E767" i="1"/>
  <c r="E736" i="1"/>
  <c r="E730" i="1"/>
  <c r="E727" i="1"/>
  <c r="E724" i="1"/>
  <c r="E721" i="1"/>
  <c r="E718" i="1"/>
  <c r="E712" i="1"/>
  <c r="E704" i="1"/>
  <c r="E701" i="1"/>
  <c r="E698" i="1"/>
  <c r="E695" i="1"/>
  <c r="E692" i="1"/>
  <c r="E689" i="1"/>
  <c r="E686" i="1"/>
  <c r="E679" i="1"/>
  <c r="E673" i="1"/>
  <c r="E670" i="1"/>
  <c r="E667" i="1"/>
  <c r="E664" i="1"/>
  <c r="E661" i="1"/>
  <c r="E656" i="1"/>
  <c r="E653" i="1"/>
  <c r="F708" i="1"/>
  <c r="F860" i="1"/>
  <c r="AV877" i="1" l="1"/>
  <c r="AU877" i="1" l="1"/>
  <c r="AS877" i="1" l="1"/>
  <c r="AR877" i="1" l="1"/>
  <c r="AQ877" i="1" l="1"/>
  <c r="AP877" i="1" l="1"/>
  <c r="AG621" i="1" l="1"/>
  <c r="G621" i="1" s="1"/>
  <c r="AG619" i="1"/>
  <c r="G619" i="1" s="1"/>
  <c r="AG403" i="1"/>
  <c r="G403" i="1" s="1"/>
  <c r="AG620" i="1"/>
  <c r="G620" i="1" s="1"/>
  <c r="AT39" i="1"/>
  <c r="G39" i="1" s="1"/>
  <c r="E620" i="1" l="1"/>
  <c r="E621" i="1"/>
  <c r="AG417" i="1"/>
  <c r="AG639" i="1"/>
  <c r="E619" i="1"/>
  <c r="AT476" i="1"/>
  <c r="G476" i="1" s="1"/>
  <c r="AT483" i="1"/>
  <c r="G483" i="1" s="1"/>
  <c r="AW484" i="1"/>
  <c r="F484" i="1" s="1"/>
  <c r="AX484" i="1"/>
  <c r="G484" i="1" s="1"/>
  <c r="AT38" i="1"/>
  <c r="G38" i="1" s="1"/>
  <c r="AT831" i="1"/>
  <c r="G831" i="1" s="1"/>
  <c r="AT568" i="1"/>
  <c r="G568" i="1" s="1"/>
  <c r="G574" i="1" s="1"/>
  <c r="AT537" i="1"/>
  <c r="G537" i="1" s="1"/>
  <c r="AT536" i="1"/>
  <c r="G536" i="1" s="1"/>
  <c r="AT538" i="1"/>
  <c r="G538" i="1" s="1"/>
  <c r="AT535" i="1"/>
  <c r="G535" i="1" s="1"/>
  <c r="AT496" i="1"/>
  <c r="G496" i="1" s="1"/>
  <c r="AT415" i="1"/>
  <c r="G415" i="1" s="1"/>
  <c r="AT414" i="1"/>
  <c r="G414" i="1" s="1"/>
  <c r="AT453" i="1"/>
  <c r="G453" i="1" s="1"/>
  <c r="AT454" i="1"/>
  <c r="G454" i="1" s="1"/>
  <c r="AT452" i="1"/>
  <c r="G452" i="1" s="1"/>
  <c r="AT451" i="1"/>
  <c r="G451" i="1" s="1"/>
  <c r="AT455" i="1"/>
  <c r="G455" i="1" s="1"/>
  <c r="AT363" i="1"/>
  <c r="G363" i="1" s="1"/>
  <c r="AT302" i="1"/>
  <c r="G302" i="1" s="1"/>
  <c r="AT301" i="1"/>
  <c r="G301" i="1" s="1"/>
  <c r="AT224" i="1"/>
  <c r="G224" i="1" s="1"/>
  <c r="AT40" i="1"/>
  <c r="G40" i="1" s="1"/>
  <c r="AT41" i="1"/>
  <c r="G41" i="1" s="1"/>
  <c r="AX584" i="1"/>
  <c r="G584" i="1" s="1"/>
  <c r="AX680" i="1"/>
  <c r="G680" i="1" s="1"/>
  <c r="AX79" i="1"/>
  <c r="G79" i="1" s="1"/>
  <c r="AX457" i="1"/>
  <c r="AX46" i="1"/>
  <c r="G46" i="1" s="1"/>
  <c r="AX630" i="1"/>
  <c r="AX479" i="1"/>
  <c r="AX809" i="1"/>
  <c r="G809" i="1" s="1"/>
  <c r="AX478" i="1"/>
  <c r="G478" i="1" s="1"/>
  <c r="AX233" i="1"/>
  <c r="G233" i="1" s="1"/>
  <c r="AX235" i="1"/>
  <c r="G235" i="1" s="1"/>
  <c r="AX394" i="1"/>
  <c r="AX707" i="1"/>
  <c r="G707" i="1" s="1"/>
  <c r="AX628" i="1"/>
  <c r="G628" i="1" s="1"/>
  <c r="AX551" i="1"/>
  <c r="G551" i="1" s="1"/>
  <c r="AX398" i="1"/>
  <c r="G398" i="1" s="1"/>
  <c r="AX393" i="1"/>
  <c r="G393" i="1" s="1"/>
  <c r="AX307" i="1"/>
  <c r="G307" i="1" s="1"/>
  <c r="AX312" i="1"/>
  <c r="G312" i="1" s="1"/>
  <c r="AX305" i="1"/>
  <c r="G305" i="1" s="1"/>
  <c r="AX163" i="1"/>
  <c r="G163" i="1" s="1"/>
  <c r="AX160" i="1"/>
  <c r="G160" i="1" s="1"/>
  <c r="AX158" i="1"/>
  <c r="AX125" i="1"/>
  <c r="G125" i="1" s="1"/>
  <c r="AX81" i="1"/>
  <c r="G81" i="1" s="1"/>
  <c r="AX792" i="1"/>
  <c r="G792" i="1" s="1"/>
  <c r="AX654" i="1"/>
  <c r="G654" i="1" s="1"/>
  <c r="G657" i="1" s="1"/>
  <c r="AX558" i="1"/>
  <c r="AX563" i="1" s="1"/>
  <c r="AX89" i="1"/>
  <c r="G89" i="1" s="1"/>
  <c r="AX497" i="1"/>
  <c r="G497" i="1" s="1"/>
  <c r="AX477" i="1"/>
  <c r="AX456" i="1"/>
  <c r="AX732" i="1"/>
  <c r="AX171" i="1"/>
  <c r="G171" i="1" s="1"/>
  <c r="AX309" i="1"/>
  <c r="G309" i="1" s="1"/>
  <c r="AX702" i="1"/>
  <c r="G702" i="1" s="1"/>
  <c r="AX705" i="1"/>
  <c r="G705" i="1" s="1"/>
  <c r="AX461" i="1"/>
  <c r="G461" i="1" s="1"/>
  <c r="AX95" i="1"/>
  <c r="G95" i="1" s="1"/>
  <c r="AX23" i="1"/>
  <c r="G23" i="1" s="1"/>
  <c r="AX16" i="1"/>
  <c r="G16" i="1" s="1"/>
  <c r="AX824" i="1"/>
  <c r="G824" i="1" s="1"/>
  <c r="AX806" i="1"/>
  <c r="G806" i="1" s="1"/>
  <c r="AX818" i="1"/>
  <c r="AX816" i="1"/>
  <c r="G816" i="1" s="1"/>
  <c r="AX756" i="1"/>
  <c r="G756" i="1" s="1"/>
  <c r="G759" i="1" s="1"/>
  <c r="AX856" i="1"/>
  <c r="G856" i="1" s="1"/>
  <c r="E856" i="1" s="1"/>
  <c r="AX815" i="1"/>
  <c r="AX813" i="1"/>
  <c r="G813" i="1" s="1"/>
  <c r="AX814" i="1"/>
  <c r="G814" i="1" s="1"/>
  <c r="AX791" i="1"/>
  <c r="G791" i="1" s="1"/>
  <c r="AX777" i="1"/>
  <c r="G777" i="1" s="1"/>
  <c r="AX763" i="1"/>
  <c r="G763" i="1" s="1"/>
  <c r="AX717" i="1"/>
  <c r="G717" i="1" s="1"/>
  <c r="AX596" i="1"/>
  <c r="G596" i="1" s="1"/>
  <c r="AX578" i="1"/>
  <c r="G578" i="1" s="1"/>
  <c r="AX602" i="1"/>
  <c r="G602" i="1" s="1"/>
  <c r="AX545" i="1"/>
  <c r="AX473" i="1"/>
  <c r="G473" i="1" s="1"/>
  <c r="AX195" i="1"/>
  <c r="G195" i="1" s="1"/>
  <c r="AX185" i="1"/>
  <c r="G185" i="1" s="1"/>
  <c r="G188" i="1" s="1"/>
  <c r="AX63" i="1"/>
  <c r="G63" i="1" s="1"/>
  <c r="AX66" i="1"/>
  <c r="AX836" i="1"/>
  <c r="G836" i="1" s="1"/>
  <c r="AX808" i="1"/>
  <c r="G808" i="1" s="1"/>
  <c r="AW457" i="1"/>
  <c r="AW46" i="1"/>
  <c r="F46" i="1" s="1"/>
  <c r="AW630" i="1"/>
  <c r="AW479" i="1"/>
  <c r="AW478" i="1"/>
  <c r="F478" i="1" s="1"/>
  <c r="AW233" i="1"/>
  <c r="AW235" i="1"/>
  <c r="F235" i="1" s="1"/>
  <c r="AW628" i="1"/>
  <c r="F628" i="1" s="1"/>
  <c r="AW551" i="1"/>
  <c r="AW398" i="1"/>
  <c r="F398" i="1" s="1"/>
  <c r="AW393" i="1"/>
  <c r="AW158" i="1"/>
  <c r="AW558" i="1"/>
  <c r="AW563" i="1" s="1"/>
  <c r="AW89" i="1"/>
  <c r="AW680" i="1"/>
  <c r="AW477" i="1"/>
  <c r="AW456" i="1"/>
  <c r="AW732" i="1"/>
  <c r="AW738" i="1" s="1"/>
  <c r="AW309" i="1"/>
  <c r="AW16" i="1"/>
  <c r="AW806" i="1"/>
  <c r="AW816" i="1"/>
  <c r="F816" i="1" s="1"/>
  <c r="AW756" i="1"/>
  <c r="AW814" i="1"/>
  <c r="F814" i="1" s="1"/>
  <c r="AW791" i="1"/>
  <c r="AW578" i="1"/>
  <c r="AW66" i="1"/>
  <c r="AW68" i="1" s="1"/>
  <c r="AW836" i="1"/>
  <c r="AW808" i="1"/>
  <c r="F808" i="1" s="1"/>
  <c r="G237" i="1" l="1"/>
  <c r="G708" i="1"/>
  <c r="G417" i="1"/>
  <c r="G500" i="1"/>
  <c r="G100" i="1"/>
  <c r="E478" i="1"/>
  <c r="AX553" i="1"/>
  <c r="E398" i="1"/>
  <c r="E596" i="1"/>
  <c r="E483" i="1"/>
  <c r="AW465" i="1"/>
  <c r="E171" i="1"/>
  <c r="E160" i="1"/>
  <c r="E452" i="1"/>
  <c r="E792" i="1"/>
  <c r="E302" i="1"/>
  <c r="E536" i="1"/>
  <c r="E628" i="1"/>
  <c r="E705" i="1"/>
  <c r="E81" i="1"/>
  <c r="E602" i="1"/>
  <c r="E95" i="1"/>
  <c r="E163" i="1"/>
  <c r="E454" i="1"/>
  <c r="E538" i="1"/>
  <c r="E461" i="1"/>
  <c r="E453" i="1"/>
  <c r="E307" i="1"/>
  <c r="E455" i="1"/>
  <c r="E415" i="1"/>
  <c r="E312" i="1"/>
  <c r="E707" i="1"/>
  <c r="E584" i="1"/>
  <c r="E537" i="1"/>
  <c r="E484" i="1"/>
  <c r="F16" i="1"/>
  <c r="AW52" i="1"/>
  <c r="AX822" i="1"/>
  <c r="AT367" i="1"/>
  <c r="E363" i="1"/>
  <c r="E414" i="1"/>
  <c r="AT417" i="1"/>
  <c r="F578" i="1"/>
  <c r="AW639" i="1"/>
  <c r="AW100" i="1"/>
  <c r="F89" i="1"/>
  <c r="AX188" i="1"/>
  <c r="F791" i="1"/>
  <c r="E791" i="1" s="1"/>
  <c r="AW794" i="1"/>
  <c r="AW313" i="1"/>
  <c r="F309" i="1"/>
  <c r="E309" i="1" s="1"/>
  <c r="AX237" i="1"/>
  <c r="E717" i="1"/>
  <c r="AX738" i="1"/>
  <c r="AX839" i="1"/>
  <c r="AX708" i="1"/>
  <c r="E497" i="1"/>
  <c r="AX500" i="1"/>
  <c r="E125" i="1"/>
  <c r="AX140" i="1"/>
  <c r="AT574" i="1"/>
  <c r="AT485" i="1"/>
  <c r="E476" i="1"/>
  <c r="AW822" i="1"/>
  <c r="F806" i="1"/>
  <c r="AW175" i="1"/>
  <c r="F158" i="1"/>
  <c r="AW237" i="1"/>
  <c r="F233" i="1"/>
  <c r="F237" i="1" s="1"/>
  <c r="E473" i="1"/>
  <c r="AX485" i="1"/>
  <c r="AX765" i="1"/>
  <c r="AX860" i="1"/>
  <c r="AX52" i="1"/>
  <c r="AX175" i="1"/>
  <c r="AX401" i="1"/>
  <c r="E451" i="1"/>
  <c r="AT465" i="1"/>
  <c r="AT500" i="1"/>
  <c r="AT839" i="1"/>
  <c r="E831" i="1"/>
  <c r="AW401" i="1"/>
  <c r="F393" i="1"/>
  <c r="E393" i="1" s="1"/>
  <c r="AX794" i="1"/>
  <c r="AX759" i="1"/>
  <c r="AT237" i="1"/>
  <c r="AT553" i="1"/>
  <c r="E38" i="1"/>
  <c r="AT52" i="1"/>
  <c r="AW759" i="1"/>
  <c r="F756" i="1"/>
  <c r="F759" i="1" s="1"/>
  <c r="F836" i="1"/>
  <c r="AW839" i="1"/>
  <c r="AW485" i="1"/>
  <c r="F477" i="1"/>
  <c r="AX657" i="1"/>
  <c r="AX100" i="1"/>
  <c r="AT313" i="1"/>
  <c r="AW683" i="1"/>
  <c r="F680" i="1"/>
  <c r="AW553" i="1"/>
  <c r="F551" i="1"/>
  <c r="E551" i="1" s="1"/>
  <c r="AX68" i="1"/>
  <c r="AX639" i="1"/>
  <c r="AX465" i="1"/>
  <c r="AX313" i="1"/>
  <c r="E305" i="1"/>
  <c r="AX683" i="1"/>
  <c r="E680" i="1" l="1"/>
  <c r="E535" i="1"/>
  <c r="E496" i="1"/>
  <c r="F100" i="1"/>
  <c r="E89" i="1"/>
  <c r="E654" i="1"/>
  <c r="E824" i="1"/>
  <c r="E836" i="1"/>
  <c r="F839" i="1"/>
  <c r="E79" i="1"/>
  <c r="E301" i="1"/>
  <c r="E578" i="1"/>
  <c r="E63" i="1"/>
  <c r="E568" i="1"/>
  <c r="E702" i="1"/>
  <c r="E185" i="1"/>
  <c r="E777" i="1"/>
  <c r="T877" i="1"/>
  <c r="AE877" i="1"/>
  <c r="U877" i="1"/>
  <c r="P877" i="1"/>
  <c r="AF877" i="1"/>
  <c r="S477" i="1"/>
  <c r="G477" i="1" s="1"/>
  <c r="S394" i="1"/>
  <c r="G394" i="1" s="1"/>
  <c r="S274" i="1"/>
  <c r="G274" i="1" s="1"/>
  <c r="G281" i="1" s="1"/>
  <c r="S281" i="1" l="1"/>
  <c r="E394" i="1"/>
  <c r="S401" i="1"/>
  <c r="E477" i="1"/>
  <c r="AC877" i="1"/>
  <c r="AA877" i="1"/>
  <c r="AB877" i="1"/>
  <c r="E274" i="1" l="1"/>
  <c r="Z877" i="1"/>
  <c r="Y877" i="1"/>
  <c r="X877" i="1" l="1"/>
  <c r="O877" i="1"/>
  <c r="AD877" i="1"/>
  <c r="V877" i="1" l="1"/>
  <c r="F469" i="1"/>
  <c r="E469" i="1" l="1"/>
  <c r="R877" i="1"/>
  <c r="N877" i="1"/>
  <c r="Q877" i="1"/>
  <c r="K877" i="1" l="1"/>
  <c r="J877" i="1"/>
  <c r="AN877" i="1" l="1"/>
  <c r="AM877" i="1"/>
  <c r="BD877" i="1" l="1"/>
  <c r="BK877" i="1" l="1"/>
  <c r="BJ877" i="1"/>
  <c r="BL877" i="1"/>
  <c r="H715" i="1" l="1"/>
  <c r="I715" i="1"/>
  <c r="G715" i="1" s="1"/>
  <c r="I738" i="1" l="1"/>
  <c r="F715" i="1"/>
  <c r="H738" i="1"/>
  <c r="H877" i="1" s="1"/>
  <c r="BF877" i="1"/>
  <c r="I877" i="1"/>
  <c r="E47" i="1"/>
  <c r="E685" i="1"/>
  <c r="E42" i="1"/>
  <c r="E49" i="1"/>
  <c r="E44" i="1"/>
  <c r="E11" i="1"/>
  <c r="E861" i="1"/>
  <c r="E813" i="1"/>
  <c r="E810" i="1"/>
  <c r="E807" i="1"/>
  <c r="E821" i="1"/>
  <c r="E190" i="1"/>
  <c r="E805" i="1"/>
  <c r="E802" i="1"/>
  <c r="E801" i="1"/>
  <c r="E798" i="1"/>
  <c r="E804" i="1"/>
  <c r="E750" i="1"/>
  <c r="E745" i="1"/>
  <c r="E743" i="1"/>
  <c r="E758" i="1"/>
  <c r="E69" i="1"/>
  <c r="E466" i="1"/>
  <c r="E238" i="1"/>
  <c r="E37" i="1"/>
  <c r="E34" i="1"/>
  <c r="E26" i="1"/>
  <c r="E22" i="1"/>
  <c r="E20" i="1"/>
  <c r="E17" i="1"/>
  <c r="E10" i="1"/>
  <c r="E50" i="1"/>
  <c r="E741" i="1"/>
  <c r="E283" i="1"/>
  <c r="E271" i="1"/>
  <c r="E266" i="1"/>
  <c r="E70" i="1"/>
  <c r="E51" i="1"/>
  <c r="E54" i="1"/>
  <c r="E48" i="1"/>
  <c r="E45" i="1"/>
  <c r="E43" i="1"/>
  <c r="E36" i="1"/>
  <c r="E32" i="1"/>
  <c r="E30" i="1"/>
  <c r="E29" i="1"/>
  <c r="E21" i="1"/>
  <c r="E15" i="1"/>
  <c r="E13" i="1"/>
  <c r="E8" i="1"/>
  <c r="E35" i="1"/>
  <c r="E33" i="1"/>
  <c r="E31" i="1"/>
  <c r="E27" i="1"/>
  <c r="E23" i="1"/>
  <c r="E19" i="1"/>
  <c r="E18" i="1"/>
  <c r="E14" i="1"/>
  <c r="E12" i="1"/>
  <c r="E9" i="1"/>
  <c r="E7" i="1"/>
  <c r="E820" i="1"/>
  <c r="E817" i="1"/>
  <c r="E812" i="1"/>
  <c r="E809" i="1"/>
  <c r="E808" i="1"/>
  <c r="E800" i="1"/>
  <c r="E797" i="1"/>
  <c r="E766" i="1"/>
  <c r="E762" i="1"/>
  <c r="E757" i="1"/>
  <c r="E755" i="1"/>
  <c r="E752" i="1"/>
  <c r="E748" i="1"/>
  <c r="E742" i="1"/>
  <c r="E739" i="1"/>
  <c r="E640" i="1"/>
  <c r="E840" i="1"/>
  <c r="E819" i="1"/>
  <c r="E811" i="1"/>
  <c r="E803" i="1"/>
  <c r="E799" i="1"/>
  <c r="E796" i="1"/>
  <c r="E763" i="1"/>
  <c r="E761" i="1"/>
  <c r="E754" i="1"/>
  <c r="E753" i="1"/>
  <c r="E751" i="1"/>
  <c r="E749" i="1"/>
  <c r="E746" i="1"/>
  <c r="E744" i="1"/>
  <c r="E740" i="1"/>
  <c r="E650" i="1"/>
  <c r="E575" i="1"/>
  <c r="E564" i="1"/>
  <c r="E574" i="1" s="1"/>
  <c r="E425" i="1"/>
  <c r="E418" i="1"/>
  <c r="E402" i="1"/>
  <c r="E486" i="1"/>
  <c r="E500" i="1" s="1"/>
  <c r="E421" i="1"/>
  <c r="E420" i="1"/>
  <c r="E371" i="1"/>
  <c r="E368" i="1"/>
  <c r="E332" i="1"/>
  <c r="E370" i="1"/>
  <c r="E314" i="1"/>
  <c r="E231" i="1"/>
  <c r="E403" i="1"/>
  <c r="E375" i="1"/>
  <c r="E372" i="1"/>
  <c r="E369" i="1"/>
  <c r="E331" i="1"/>
  <c r="E315" i="1"/>
  <c r="E282" i="1"/>
  <c r="E270" i="1"/>
  <c r="E265" i="1"/>
  <c r="E239" i="1"/>
  <c r="E236" i="1"/>
  <c r="E234" i="1"/>
  <c r="E141" i="1"/>
  <c r="E155" i="1" s="1"/>
  <c r="E232" i="1"/>
  <c r="E229" i="1"/>
  <c r="E228" i="1"/>
  <c r="E226" i="1"/>
  <c r="E222" i="1"/>
  <c r="E218" i="1"/>
  <c r="E215" i="1"/>
  <c r="E213" i="1"/>
  <c r="E210" i="1"/>
  <c r="E207" i="1"/>
  <c r="E204" i="1"/>
  <c r="E201" i="1"/>
  <c r="E197" i="1"/>
  <c r="E176" i="1"/>
  <c r="E53" i="1"/>
  <c r="E225" i="1"/>
  <c r="E221" i="1"/>
  <c r="E217" i="1"/>
  <c r="E216" i="1"/>
  <c r="E209" i="1"/>
  <c r="E203" i="1"/>
  <c r="E212" i="1"/>
  <c r="E200" i="1"/>
  <c r="E196" i="1"/>
  <c r="E230" i="1"/>
  <c r="E227" i="1"/>
  <c r="E223" i="1"/>
  <c r="E220" i="1"/>
  <c r="E214" i="1"/>
  <c r="E211" i="1"/>
  <c r="E208" i="1"/>
  <c r="E205" i="1"/>
  <c r="E202" i="1"/>
  <c r="E219" i="1"/>
  <c r="E199" i="1"/>
  <c r="E198" i="1"/>
  <c r="E206" i="1"/>
  <c r="E189" i="1"/>
  <c r="E177" i="1"/>
  <c r="E373" i="1" l="1"/>
  <c r="E424" i="1"/>
  <c r="E269" i="1"/>
  <c r="E281" i="1"/>
  <c r="E715" i="1"/>
  <c r="E657" i="1"/>
  <c r="E419" i="1"/>
  <c r="E194" i="1"/>
  <c r="E417" i="1"/>
  <c r="E100" i="1"/>
  <c r="E188" i="1"/>
  <c r="AG130" i="1"/>
  <c r="G130" i="1" s="1"/>
  <c r="AG140" i="1" l="1"/>
  <c r="E130" i="1"/>
  <c r="E40" i="1"/>
  <c r="E41" i="1"/>
  <c r="E39" i="1"/>
  <c r="E224" i="1" l="1"/>
  <c r="S545" i="1"/>
  <c r="G545" i="1" s="1"/>
  <c r="S481" i="1"/>
  <c r="G481" i="1" s="1"/>
  <c r="E481" i="1" l="1"/>
  <c r="S485" i="1"/>
  <c r="S553" i="1"/>
  <c r="E545" i="1"/>
  <c r="S158" i="1"/>
  <c r="G158" i="1" s="1"/>
  <c r="S175" i="1" l="1"/>
  <c r="S877" i="1" s="1"/>
  <c r="M733" i="1"/>
  <c r="G733" i="1" s="1"/>
  <c r="L733" i="1"/>
  <c r="F733" i="1" s="1"/>
  <c r="M135" i="1"/>
  <c r="G135" i="1" s="1"/>
  <c r="L135" i="1"/>
  <c r="F135" i="1" s="1"/>
  <c r="M560" i="1"/>
  <c r="G560" i="1" s="1"/>
  <c r="L560" i="1"/>
  <c r="F560" i="1" s="1"/>
  <c r="M558" i="1"/>
  <c r="G558" i="1" s="1"/>
  <c r="L558" i="1"/>
  <c r="M479" i="1"/>
  <c r="G479" i="1" s="1"/>
  <c r="G485" i="1" s="1"/>
  <c r="L479" i="1"/>
  <c r="M456" i="1"/>
  <c r="G456" i="1" s="1"/>
  <c r="L456" i="1"/>
  <c r="F456" i="1" s="1"/>
  <c r="M457" i="1"/>
  <c r="G457" i="1" s="1"/>
  <c r="L457" i="1"/>
  <c r="F457" i="1" s="1"/>
  <c r="M732" i="1"/>
  <c r="G732" i="1" s="1"/>
  <c r="G738" i="1" s="1"/>
  <c r="L732" i="1"/>
  <c r="M172" i="1"/>
  <c r="G172" i="1" s="1"/>
  <c r="G175" i="1" s="1"/>
  <c r="L172" i="1"/>
  <c r="M675" i="1"/>
  <c r="G675" i="1" s="1"/>
  <c r="L675" i="1"/>
  <c r="M25" i="1"/>
  <c r="G25" i="1" s="1"/>
  <c r="L25" i="1"/>
  <c r="F25" i="1" s="1"/>
  <c r="G563" i="1" l="1"/>
  <c r="E456" i="1"/>
  <c r="E560" i="1"/>
  <c r="E733" i="1"/>
  <c r="M738" i="1"/>
  <c r="M485" i="1"/>
  <c r="E457" i="1"/>
  <c r="L563" i="1"/>
  <c r="F558" i="1"/>
  <c r="M563" i="1"/>
  <c r="F675" i="1"/>
  <c r="L175" i="1"/>
  <c r="F172" i="1"/>
  <c r="M175" i="1"/>
  <c r="E158" i="1"/>
  <c r="L738" i="1"/>
  <c r="F732" i="1"/>
  <c r="L485" i="1"/>
  <c r="F479" i="1"/>
  <c r="E135" i="1"/>
  <c r="E25" i="1"/>
  <c r="E732" i="1" l="1"/>
  <c r="F738" i="1"/>
  <c r="E172" i="1"/>
  <c r="F175" i="1"/>
  <c r="E558" i="1"/>
  <c r="F563" i="1"/>
  <c r="E479" i="1"/>
  <c r="E485" i="1" s="1"/>
  <c r="F485" i="1"/>
  <c r="E675" i="1"/>
  <c r="E235" i="1"/>
  <c r="E46" i="1" l="1"/>
  <c r="E816" i="1" l="1"/>
  <c r="E233" i="1"/>
  <c r="E795" i="1"/>
  <c r="E823" i="1"/>
  <c r="E709" i="1"/>
  <c r="E738" i="1" s="1"/>
  <c r="E554" i="1"/>
  <c r="E563" i="1" s="1"/>
  <c r="E684" i="1"/>
  <c r="E708" i="1" s="1"/>
  <c r="E658" i="1"/>
  <c r="E501" i="1"/>
  <c r="E101" i="1"/>
  <c r="E156" i="1"/>
  <c r="E175" i="1" s="1"/>
  <c r="E195" i="1"/>
  <c r="E237" i="1" s="1"/>
  <c r="E814" i="1" l="1"/>
  <c r="E756" i="1"/>
  <c r="E759" i="1" s="1"/>
  <c r="E16" i="1"/>
  <c r="E806" i="1"/>
  <c r="M102" i="1" l="1"/>
  <c r="G102" i="1" s="1"/>
  <c r="L102" i="1"/>
  <c r="M112" i="1"/>
  <c r="G112" i="1" s="1"/>
  <c r="L112" i="1"/>
  <c r="F112" i="1" s="1"/>
  <c r="M760" i="1"/>
  <c r="G760" i="1" s="1"/>
  <c r="L760" i="1"/>
  <c r="G140" i="1" l="1"/>
  <c r="F760" i="1"/>
  <c r="E112" i="1"/>
  <c r="F102" i="1"/>
  <c r="M137" i="1"/>
  <c r="G137" i="1" s="1"/>
  <c r="L137" i="1"/>
  <c r="F137" i="1" s="1"/>
  <c r="M437" i="1"/>
  <c r="G437" i="1" s="1"/>
  <c r="L437" i="1"/>
  <c r="M342" i="1"/>
  <c r="G342" i="1" s="1"/>
  <c r="L342" i="1"/>
  <c r="M863" i="1"/>
  <c r="G863" i="1" s="1"/>
  <c r="L863" i="1"/>
  <c r="M24" i="1"/>
  <c r="G24" i="1" s="1"/>
  <c r="L24" i="1"/>
  <c r="F140" i="1" l="1"/>
  <c r="L140" i="1"/>
  <c r="M876" i="1"/>
  <c r="G876" i="1"/>
  <c r="F24" i="1"/>
  <c r="F437" i="1"/>
  <c r="L876" i="1"/>
  <c r="F863" i="1"/>
  <c r="E137" i="1"/>
  <c r="F342" i="1"/>
  <c r="M140" i="1"/>
  <c r="E760" i="1"/>
  <c r="E102" i="1"/>
  <c r="F876" i="1" l="1"/>
  <c r="E863" i="1"/>
  <c r="E342" i="1"/>
  <c r="E876" i="1"/>
  <c r="E437" i="1"/>
  <c r="E140" i="1"/>
  <c r="E24" i="1"/>
  <c r="M540" i="1"/>
  <c r="G540" i="1" s="1"/>
  <c r="G553" i="1" s="1"/>
  <c r="L540" i="1"/>
  <c r="M464" i="1"/>
  <c r="G464" i="1" s="1"/>
  <c r="L464" i="1"/>
  <c r="F464" i="1" s="1"/>
  <c r="M462" i="1"/>
  <c r="G462" i="1" s="1"/>
  <c r="L462" i="1"/>
  <c r="F462" i="1" s="1"/>
  <c r="M374" i="1"/>
  <c r="G374" i="1" s="1"/>
  <c r="L374" i="1"/>
  <c r="M28" i="1"/>
  <c r="G28" i="1" s="1"/>
  <c r="G52" i="1" s="1"/>
  <c r="L28" i="1"/>
  <c r="E464" i="1" l="1"/>
  <c r="F28" i="1"/>
  <c r="L52" i="1"/>
  <c r="F374" i="1"/>
  <c r="L553" i="1"/>
  <c r="F540" i="1"/>
  <c r="M553" i="1"/>
  <c r="E462" i="1"/>
  <c r="M52" i="1"/>
  <c r="BA832" i="1"/>
  <c r="G832" i="1" s="1"/>
  <c r="G839" i="1" s="1"/>
  <c r="F52" i="1" l="1"/>
  <c r="BA839" i="1"/>
  <c r="E540" i="1"/>
  <c r="E553" i="1" s="1"/>
  <c r="F553" i="1"/>
  <c r="E374" i="1"/>
  <c r="E28" i="1"/>
  <c r="E832" i="1" l="1"/>
  <c r="E839" i="1" s="1"/>
  <c r="W846" i="1"/>
  <c r="G846" i="1" s="1"/>
  <c r="G860" i="1" l="1"/>
  <c r="E846" i="1"/>
  <c r="W860" i="1"/>
  <c r="BE877" i="1"/>
  <c r="E6" i="1"/>
  <c r="E52" i="1" s="1"/>
  <c r="E860" i="1" l="1"/>
  <c r="M349" i="1"/>
  <c r="G349" i="1" s="1"/>
  <c r="L349" i="1"/>
  <c r="F349" i="1" l="1"/>
  <c r="L367" i="1"/>
  <c r="M367" i="1"/>
  <c r="M676" i="1"/>
  <c r="G676" i="1" s="1"/>
  <c r="L676" i="1"/>
  <c r="L815" i="1"/>
  <c r="M815" i="1"/>
  <c r="G815" i="1" s="1"/>
  <c r="G822" i="1" s="1"/>
  <c r="M818" i="1"/>
  <c r="G818" i="1" s="1"/>
  <c r="L818" i="1"/>
  <c r="F818" i="1" s="1"/>
  <c r="M779" i="1"/>
  <c r="G779" i="1" s="1"/>
  <c r="G794" i="1" s="1"/>
  <c r="L779" i="1"/>
  <c r="M788" i="1"/>
  <c r="G788" i="1" s="1"/>
  <c r="L788" i="1"/>
  <c r="F788" i="1" s="1"/>
  <c r="M764" i="1"/>
  <c r="G764" i="1" s="1"/>
  <c r="G765" i="1" s="1"/>
  <c r="L764" i="1"/>
  <c r="M682" i="1"/>
  <c r="G682" i="1" s="1"/>
  <c r="L682" i="1"/>
  <c r="F682" i="1" s="1"/>
  <c r="M641" i="1"/>
  <c r="G641" i="1" s="1"/>
  <c r="G649" i="1" s="1"/>
  <c r="L641" i="1"/>
  <c r="M648" i="1"/>
  <c r="G648" i="1" s="1"/>
  <c r="L648" i="1"/>
  <c r="F648" i="1" s="1"/>
  <c r="M633" i="1"/>
  <c r="G633" i="1" s="1"/>
  <c r="L633" i="1"/>
  <c r="F633" i="1" s="1"/>
  <c r="M630" i="1"/>
  <c r="G630" i="1" s="1"/>
  <c r="G639" i="1" s="1"/>
  <c r="L630" i="1"/>
  <c r="M449" i="1"/>
  <c r="G449" i="1" s="1"/>
  <c r="L449" i="1"/>
  <c r="M463" i="1"/>
  <c r="G463" i="1" s="1"/>
  <c r="L463" i="1"/>
  <c r="F463" i="1" s="1"/>
  <c r="M459" i="1"/>
  <c r="G459" i="1" s="1"/>
  <c r="L459" i="1"/>
  <c r="F459" i="1" s="1"/>
  <c r="M382" i="1"/>
  <c r="G382" i="1" s="1"/>
  <c r="G401" i="1" s="1"/>
  <c r="L382" i="1"/>
  <c r="M397" i="1"/>
  <c r="G397" i="1" s="1"/>
  <c r="L397" i="1"/>
  <c r="F397" i="1" s="1"/>
  <c r="M320" i="1"/>
  <c r="G320" i="1" s="1"/>
  <c r="L320" i="1"/>
  <c r="M325" i="1"/>
  <c r="G325" i="1" s="1"/>
  <c r="L325" i="1"/>
  <c r="F325" i="1" s="1"/>
  <c r="M303" i="1"/>
  <c r="G303" i="1" s="1"/>
  <c r="G313" i="1" s="1"/>
  <c r="L303" i="1"/>
  <c r="M258" i="1"/>
  <c r="G258" i="1" s="1"/>
  <c r="G264" i="1" s="1"/>
  <c r="L258" i="1"/>
  <c r="G465" i="1" l="1"/>
  <c r="G330" i="1"/>
  <c r="G683" i="1"/>
  <c r="E788" i="1"/>
  <c r="E459" i="1"/>
  <c r="E397" i="1"/>
  <c r="E463" i="1"/>
  <c r="E633" i="1"/>
  <c r="E682" i="1"/>
  <c r="F779" i="1"/>
  <c r="L794" i="1"/>
  <c r="F676" i="1"/>
  <c r="L683" i="1"/>
  <c r="M794" i="1"/>
  <c r="M683" i="1"/>
  <c r="L313" i="1"/>
  <c r="F303" i="1"/>
  <c r="M313" i="1"/>
  <c r="E325" i="1"/>
  <c r="F382" i="1"/>
  <c r="L401" i="1"/>
  <c r="F449" i="1"/>
  <c r="L465" i="1"/>
  <c r="E648" i="1"/>
  <c r="F764" i="1"/>
  <c r="F765" i="1" s="1"/>
  <c r="L765" i="1"/>
  <c r="M401" i="1"/>
  <c r="M765" i="1"/>
  <c r="L330" i="1"/>
  <c r="F320" i="1"/>
  <c r="F630" i="1"/>
  <c r="L639" i="1"/>
  <c r="L649" i="1"/>
  <c r="F641" i="1"/>
  <c r="M822" i="1"/>
  <c r="M465" i="1"/>
  <c r="L264" i="1"/>
  <c r="F258" i="1"/>
  <c r="M264" i="1"/>
  <c r="M330" i="1"/>
  <c r="M639" i="1"/>
  <c r="M649" i="1"/>
  <c r="L822" i="1"/>
  <c r="F815" i="1"/>
  <c r="F822" i="1" s="1"/>
  <c r="E349" i="1"/>
  <c r="F367" i="1"/>
  <c r="E818" i="1"/>
  <c r="M66" i="1"/>
  <c r="G66" i="1" s="1"/>
  <c r="G68" i="1" s="1"/>
  <c r="L66" i="1"/>
  <c r="L68" i="1" l="1"/>
  <c r="F66" i="1"/>
  <c r="M68" i="1"/>
  <c r="E382" i="1"/>
  <c r="E401" i="1" s="1"/>
  <c r="F401" i="1"/>
  <c r="E258" i="1"/>
  <c r="E264" i="1" s="1"/>
  <c r="F264" i="1"/>
  <c r="F649" i="1"/>
  <c r="E641" i="1"/>
  <c r="E649" i="1" s="1"/>
  <c r="F794" i="1"/>
  <c r="E779" i="1"/>
  <c r="E794" i="1" s="1"/>
  <c r="E630" i="1"/>
  <c r="E639" i="1" s="1"/>
  <c r="F639" i="1"/>
  <c r="E449" i="1"/>
  <c r="E465" i="1" s="1"/>
  <c r="F465" i="1"/>
  <c r="E303" i="1"/>
  <c r="E313" i="1" s="1"/>
  <c r="F313" i="1"/>
  <c r="E320" i="1"/>
  <c r="E330" i="1" s="1"/>
  <c r="F330" i="1"/>
  <c r="E676" i="1"/>
  <c r="E683" i="1" s="1"/>
  <c r="F683" i="1"/>
  <c r="E764" i="1"/>
  <c r="E765" i="1" s="1"/>
  <c r="E815" i="1"/>
  <c r="E822" i="1" s="1"/>
  <c r="W365" i="1"/>
  <c r="G365" i="1" s="1"/>
  <c r="G367" i="1" s="1"/>
  <c r="W367" i="1" l="1"/>
  <c r="F68" i="1"/>
  <c r="F877" i="1" s="1"/>
  <c r="E66" i="1"/>
  <c r="M877" i="1"/>
  <c r="L877" i="1"/>
  <c r="BG877" i="1"/>
  <c r="BO877" i="1"/>
  <c r="BI877" i="1"/>
  <c r="BC877" i="1"/>
  <c r="AK877" i="1"/>
  <c r="AJ877" i="1"/>
  <c r="AI877" i="1"/>
  <c r="BH877" i="1"/>
  <c r="AT877" i="1"/>
  <c r="BP877" i="1"/>
  <c r="AX877" i="1"/>
  <c r="AL877" i="1"/>
  <c r="AH877" i="1"/>
  <c r="AW877" i="1"/>
  <c r="AG877" i="1"/>
  <c r="BN877" i="1"/>
  <c r="BA877" i="1"/>
  <c r="BQ877" i="1"/>
  <c r="AZ877" i="1"/>
  <c r="BB877" i="1"/>
  <c r="E68" i="1" l="1"/>
  <c r="E877" i="1"/>
  <c r="G877" i="1"/>
  <c r="E365" i="1"/>
  <c r="E367" i="1" s="1"/>
  <c r="W877" i="1"/>
  <c r="AY877" i="1"/>
</calcChain>
</file>

<file path=xl/sharedStrings.xml><?xml version="1.0" encoding="utf-8"?>
<sst xmlns="http://schemas.openxmlformats.org/spreadsheetml/2006/main" count="3290" uniqueCount="1590">
  <si>
    <r>
      <t xml:space="preserve">Субсидии на компенсацию части затрат, связанных с оплатой первоначального (авансового) </t>
    </r>
    <r>
      <rPr>
        <b/>
        <sz val="15"/>
        <rFont val="Times New Roman"/>
        <family val="1"/>
        <charset val="204"/>
      </rPr>
      <t>лизингового</t>
    </r>
    <r>
      <rPr>
        <sz val="15"/>
        <rFont val="Times New Roman"/>
        <family val="1"/>
        <charset val="204"/>
      </rPr>
      <t xml:space="preserve"> взноса и очередных лизинговых платежей по заключенным договорам финансового лизинга</t>
    </r>
  </si>
  <si>
    <r>
      <t xml:space="preserve">Субсидии </t>
    </r>
    <r>
      <rPr>
        <b/>
        <sz val="15"/>
        <rFont val="Times New Roman"/>
        <family val="1"/>
        <charset val="204"/>
      </rPr>
      <t xml:space="preserve">базовым хозяйствам </t>
    </r>
    <r>
      <rPr>
        <sz val="15"/>
        <rFont val="Times New Roman"/>
        <family val="1"/>
        <charset val="204"/>
      </rPr>
      <t xml:space="preserve">на компенсацию части затрат, связанных с выплатой </t>
    </r>
    <r>
      <rPr>
        <b/>
        <sz val="15"/>
        <rFont val="Times New Roman"/>
        <family val="1"/>
        <charset val="204"/>
      </rPr>
      <t>заработной платы студентам</t>
    </r>
    <r>
      <rPr>
        <sz val="15"/>
        <rFont val="Times New Roman"/>
        <family val="1"/>
        <charset val="204"/>
      </rPr>
      <t>, в случае их трудоустройства по срочному трудовому договору в период прохождения производственной практики</t>
    </r>
  </si>
  <si>
    <r>
      <t xml:space="preserve">Субсидии </t>
    </r>
    <r>
      <rPr>
        <b/>
        <sz val="15"/>
        <rFont val="Times New Roman"/>
        <family val="1"/>
        <charset val="204"/>
      </rPr>
      <t>базовым хозяйствам</t>
    </r>
    <r>
      <rPr>
        <sz val="15"/>
        <rFont val="Times New Roman"/>
        <family val="1"/>
        <charset val="204"/>
      </rPr>
      <t xml:space="preserve"> на компенсацию затрат, связанных с </t>
    </r>
    <r>
      <rPr>
        <b/>
        <sz val="15"/>
        <rFont val="Times New Roman"/>
        <family val="1"/>
        <charset val="204"/>
      </rPr>
      <t xml:space="preserve">доплатой работнику </t>
    </r>
    <r>
      <rPr>
        <sz val="15"/>
        <rFont val="Times New Roman"/>
        <family val="1"/>
        <charset val="204"/>
      </rPr>
      <t>базового хозяйства, осуществляющему руководство производственной практикой студента</t>
    </r>
  </si>
  <si>
    <r>
      <t xml:space="preserve">Гранты крестьянским (фермерским) хозяйствам на развитие </t>
    </r>
    <r>
      <rPr>
        <b/>
        <sz val="15"/>
        <rFont val="Times New Roman"/>
        <family val="1"/>
        <charset val="204"/>
      </rPr>
      <t xml:space="preserve">семейных животноводческих </t>
    </r>
    <r>
      <rPr>
        <sz val="15"/>
        <rFont val="Times New Roman"/>
        <family val="1"/>
        <charset val="204"/>
      </rPr>
      <t>ферм</t>
    </r>
  </si>
  <si>
    <t>федеральный бюджет</t>
  </si>
  <si>
    <t>Абанский</t>
  </si>
  <si>
    <t>СХО</t>
  </si>
  <si>
    <t>ООО "АС"</t>
  </si>
  <si>
    <t>2401005063</t>
  </si>
  <si>
    <t>ООО "Восток"</t>
  </si>
  <si>
    <t>2401006035</t>
  </si>
  <si>
    <t>ООО "Ключи"</t>
  </si>
  <si>
    <t>2401003250</t>
  </si>
  <si>
    <t>ООО "Луч-1"</t>
  </si>
  <si>
    <t>2401000587</t>
  </si>
  <si>
    <t>ООО "Мана"</t>
  </si>
  <si>
    <t>2401005218</t>
  </si>
  <si>
    <t>ООО "Мачинское"</t>
  </si>
  <si>
    <t>2401005391</t>
  </si>
  <si>
    <t>ООО "Молокановка"</t>
  </si>
  <si>
    <t>2401005384</t>
  </si>
  <si>
    <t>ООО "Родник"</t>
  </si>
  <si>
    <t>2401005698</t>
  </si>
  <si>
    <t>ООО "Успенское"</t>
  </si>
  <si>
    <t>2465128913</t>
  </si>
  <si>
    <t>ООО "Эдэзи"</t>
  </si>
  <si>
    <t>2401005088</t>
  </si>
  <si>
    <t>ИП Бушин Георгий Александрович</t>
  </si>
  <si>
    <t>ИП</t>
  </si>
  <si>
    <t>ИП глава К(Ф)Х Астапов Андрей Сергеевич</t>
  </si>
  <si>
    <t>К(Ф)Х</t>
  </si>
  <si>
    <t>ИП глава К(Ф)Х Бонох Андрей Егорович</t>
  </si>
  <si>
    <t>ИП глава К(Ф)Х Примеров Владимир Петрович</t>
  </si>
  <si>
    <t>ИП глава К(Ф)Х Бартницкий Федор Федорович</t>
  </si>
  <si>
    <t>ИП глава К(Ф)Х Вейхлей Сергей Александрович</t>
  </si>
  <si>
    <t>ИП глава К(Ф)Х Гулевич Александр Васильевич</t>
  </si>
  <si>
    <t>240100038111</t>
  </si>
  <si>
    <t>240102151899</t>
  </si>
  <si>
    <t>ИП глава К(Ф)Х Ковалев Юрий Дмитриевич</t>
  </si>
  <si>
    <t>ИП глава К(Ф)Х Куземич Павел Георгиевич</t>
  </si>
  <si>
    <t>ИП глава К(Ф)Х Лейднер Андрей Карлович</t>
  </si>
  <si>
    <t>246522284490</t>
  </si>
  <si>
    <t>ИП глава К(Ф)Х Бельская Валентина Богдановна</t>
  </si>
  <si>
    <t>240100217150</t>
  </si>
  <si>
    <t>ИП глава К(Ф)Х Сапрыкина Татьяна Георгиевна</t>
  </si>
  <si>
    <t>240102359400</t>
  </si>
  <si>
    <t>ИП глава К(Ф)Х Бобков Алексей Иванович</t>
  </si>
  <si>
    <t>ИП глава К(Ф)Х Лейднер Данила Карлович</t>
  </si>
  <si>
    <t>246517727690</t>
  </si>
  <si>
    <t>ИП глава К(Ф)Х Павлюченко Николай Иванович</t>
  </si>
  <si>
    <t>240100812889</t>
  </si>
  <si>
    <t>ИП глава К(Ф)Х Свирко Андрей Степанович</t>
  </si>
  <si>
    <t>240100792576</t>
  </si>
  <si>
    <t>ИП глава К(Ф)Х Танкович Роман Анатольевич</t>
  </si>
  <si>
    <t>ИП глава К(Ф)Х Ходкин Евгений Витальевич</t>
  </si>
  <si>
    <t>240100764184</t>
  </si>
  <si>
    <t>ИП глава К(Ф)Х Ходос Станислав Александрович</t>
  </si>
  <si>
    <t>ИП глава К(Ф)Х Хохлов Вячеслав Евгеньевич</t>
  </si>
  <si>
    <t>240102048073</t>
  </si>
  <si>
    <t>240101745106</t>
  </si>
  <si>
    <t>ИП глава К(Ф)Х Шеметько Александр Васильевич</t>
  </si>
  <si>
    <t>240100026170</t>
  </si>
  <si>
    <t>ИП глава К(Ф)Х Земскова Елена Петровна</t>
  </si>
  <si>
    <t>ИП Маслобоев Николай Анатольевич</t>
  </si>
  <si>
    <t>240100783596</t>
  </si>
  <si>
    <t>ИП Пугачев Александр Михайлович</t>
  </si>
  <si>
    <t>КХ "Земляк"</t>
  </si>
  <si>
    <t>2401000883</t>
  </si>
  <si>
    <t>КХ "Берта"</t>
  </si>
  <si>
    <t>2401001051</t>
  </si>
  <si>
    <t xml:space="preserve">КХ "Восход" </t>
  </si>
  <si>
    <t>2401003281</t>
  </si>
  <si>
    <t>СПК "Рассвет"</t>
  </si>
  <si>
    <t>СПоК</t>
  </si>
  <si>
    <t>ССПК "Флагман"</t>
  </si>
  <si>
    <t>2401003130</t>
  </si>
  <si>
    <t>ССПК "Фортуна"</t>
  </si>
  <si>
    <t>ССПК "Колос"</t>
  </si>
  <si>
    <t>2401002930</t>
  </si>
  <si>
    <t>Абанский Итог</t>
  </si>
  <si>
    <t>ит</t>
  </si>
  <si>
    <t>Ачинский</t>
  </si>
  <si>
    <t>ООО "Агросфера"</t>
  </si>
  <si>
    <t>2443030110</t>
  </si>
  <si>
    <t>ООО "Эльбрус"</t>
  </si>
  <si>
    <t>244400619749</t>
  </si>
  <si>
    <t>ООО "Причулымье"</t>
  </si>
  <si>
    <t>организации АПК</t>
  </si>
  <si>
    <t>2402002594</t>
  </si>
  <si>
    <t>ИП глава К(Ф)Х Алексеев Владимир Викторович</t>
  </si>
  <si>
    <t>244301456250</t>
  </si>
  <si>
    <t>ИП глава К(Ф)Х Андрюхов Сергей Константинович</t>
  </si>
  <si>
    <t xml:space="preserve">244306145636 </t>
  </si>
  <si>
    <t>ИП глава К(Ф)Х Арутюнян Корюн Исраели</t>
  </si>
  <si>
    <t>244301217125</t>
  </si>
  <si>
    <t>ИП глава К(Ф)Х Кильтре Ольга Владимировна</t>
  </si>
  <si>
    <t>244302308008</t>
  </si>
  <si>
    <t>ИП глава К(Ф)Х Колпаков Виктор Владимирович</t>
  </si>
  <si>
    <t>ИП глава К(Ф)Х Стась Геннадий Николаевич</t>
  </si>
  <si>
    <t>244301458018</t>
  </si>
  <si>
    <t>ИП глава К(Ф)Х Ушаков Александр Алексеевич</t>
  </si>
  <si>
    <t>240200006018</t>
  </si>
  <si>
    <t>Ачинский Итог</t>
  </si>
  <si>
    <t>Балахтинский</t>
  </si>
  <si>
    <t>ЗАО "Приморье"</t>
  </si>
  <si>
    <t>2403006200</t>
  </si>
  <si>
    <t xml:space="preserve">ЗАО "Сибирь" </t>
  </si>
  <si>
    <t>2403005911</t>
  </si>
  <si>
    <t xml:space="preserve">ОАО "Красное" </t>
  </si>
  <si>
    <t>2403006305</t>
  </si>
  <si>
    <t xml:space="preserve">ОАО "Тюльковское" </t>
  </si>
  <si>
    <t>2403000938</t>
  </si>
  <si>
    <t>ООО "Исток"</t>
  </si>
  <si>
    <t>2466266747</t>
  </si>
  <si>
    <t>ООО "Сибирь"</t>
  </si>
  <si>
    <t>2403008310</t>
  </si>
  <si>
    <t>ООО "Чистопольские нивы"</t>
  </si>
  <si>
    <t>2403007203</t>
  </si>
  <si>
    <t>ООО "Чулымское"</t>
  </si>
  <si>
    <t>2403008359</t>
  </si>
  <si>
    <t>ООО "К(Ф)Х "Могучий"</t>
  </si>
  <si>
    <t>2403007186</t>
  </si>
  <si>
    <t>ООО К(Ф)Х "Хакасия"</t>
  </si>
  <si>
    <t>2403007651</t>
  </si>
  <si>
    <t>ООО СХП "Агрис"</t>
  </si>
  <si>
    <t>2403006993</t>
  </si>
  <si>
    <t>ООО "КХ Родник"</t>
  </si>
  <si>
    <t>2403005679</t>
  </si>
  <si>
    <t>ООО "К(Ф)Х "Черемушка"</t>
  </si>
  <si>
    <t>2403005816</t>
  </si>
  <si>
    <t>ООО СХП "Анюта"</t>
  </si>
  <si>
    <t>2403006224</t>
  </si>
  <si>
    <t>ООО СХП "Восход"</t>
  </si>
  <si>
    <t>2403006143</t>
  </si>
  <si>
    <t>ООО СХП "Ильтюковское"</t>
  </si>
  <si>
    <t>2403007193</t>
  </si>
  <si>
    <t>ООО СХП "Сургутская"</t>
  </si>
  <si>
    <t>2403007034</t>
  </si>
  <si>
    <t>ООО СХП "Фортуна"</t>
  </si>
  <si>
    <t>2403007002</t>
  </si>
  <si>
    <t>ООО СХП "Шпейтер"</t>
  </si>
  <si>
    <t>2403005767</t>
  </si>
  <si>
    <t>ООО СХП "Эколпрод"</t>
  </si>
  <si>
    <t>2403007980</t>
  </si>
  <si>
    <t>ИП глава К(Ф)Х Владимиров Владимир Георгиевич</t>
  </si>
  <si>
    <t>240301558833</t>
  </si>
  <si>
    <t>ИП глава К(Ф)Х Владимиров Вячеслав Георгиевич</t>
  </si>
  <si>
    <t>ИП глава К(Ф)Х Золотарев Иван Александрович</t>
  </si>
  <si>
    <t>240300444142</t>
  </si>
  <si>
    <t>ИП глава К(Ф)Х Миллер Александр Федорович</t>
  </si>
  <si>
    <t>240302013600</t>
  </si>
  <si>
    <t>ИП глава К(Ф)Х Тесленко Григорий Петрович</t>
  </si>
  <si>
    <t xml:space="preserve">240301134672 </t>
  </si>
  <si>
    <t>Балахтинский Итог</t>
  </si>
  <si>
    <t>Березовский</t>
  </si>
  <si>
    <t>ООО "Овощи Сибири"</t>
  </si>
  <si>
    <t>2404015020</t>
  </si>
  <si>
    <t>ООО "Урожай"</t>
  </si>
  <si>
    <t>2404014299</t>
  </si>
  <si>
    <t>ООО "Эльдар"</t>
  </si>
  <si>
    <t>2404005495</t>
  </si>
  <si>
    <t>СПК "Аленушка"</t>
  </si>
  <si>
    <t>2404010784</t>
  </si>
  <si>
    <t>ООО "Агропромышленный Холдинг Огород"</t>
  </si>
  <si>
    <t>2404005880</t>
  </si>
  <si>
    <t>ООО "Возрождение"</t>
  </si>
  <si>
    <t>2404110235</t>
  </si>
  <si>
    <t>ИП Воронов Виталий Геннадьевич</t>
  </si>
  <si>
    <t>246605078942</t>
  </si>
  <si>
    <t>240401637172</t>
  </si>
  <si>
    <t>ИП глава К(Ф)Х Бурчян Анжела Михайловна</t>
  </si>
  <si>
    <t>246500823396</t>
  </si>
  <si>
    <t>ИП глава К(Ф)Х Владыкин Андрей Сергеевич</t>
  </si>
  <si>
    <t>246402251302</t>
  </si>
  <si>
    <t>ИП глава К(Ф)Х Воронежцева Юлия Викторовна</t>
  </si>
  <si>
    <t>240400438505</t>
  </si>
  <si>
    <t>ИП глава К(Ф)Х Воронов Евгений Геннадьевич</t>
  </si>
  <si>
    <t>240403324369</t>
  </si>
  <si>
    <t>ИП глава К(Ф)Х Мамедов Артем Гарибович</t>
  </si>
  <si>
    <t>240402914206</t>
  </si>
  <si>
    <t>ИП глава К(Ф)Х Дербека Леонид Григорьевич</t>
  </si>
  <si>
    <t>240403122789</t>
  </si>
  <si>
    <t>ИП глава К(Ф)Х Джалилов Турал Исмаил оглы</t>
  </si>
  <si>
    <t>ИП глава К(Ф)Х Сумин Михаил Васильевич</t>
  </si>
  <si>
    <t>240401911900</t>
  </si>
  <si>
    <t>ИП глава К(Ф)Х Дмитриева Лариса Николаевна</t>
  </si>
  <si>
    <t>240400738234</t>
  </si>
  <si>
    <t>ИП глава К(Ф)Х Журович Сергей Николаевич</t>
  </si>
  <si>
    <t xml:space="preserve">245207707364 </t>
  </si>
  <si>
    <t>ИП глава К(Ф)Х Зиновьев Александр Львович</t>
  </si>
  <si>
    <t>ИП глава К(Ф)Х Коледа Сергей Сергеевич</t>
  </si>
  <si>
    <t xml:space="preserve">240401875314 </t>
  </si>
  <si>
    <t>ИП глава К(Ф)Х Минчик Владимир Михайлович</t>
  </si>
  <si>
    <t>240400869678</t>
  </si>
  <si>
    <t>ИП глава К(Ф)Х Морозов Алексей Николаевич</t>
  </si>
  <si>
    <t>240400060703</t>
  </si>
  <si>
    <t>ИП глава К(Ф)Х Новосельский Вячеслав Николаевич</t>
  </si>
  <si>
    <t>245200573707</t>
  </si>
  <si>
    <t>ИП глава К(Ф)Х Новосельский Николай Иванович</t>
  </si>
  <si>
    <t>245200519964</t>
  </si>
  <si>
    <t>ИП глава К(Ф)Х Прадедович Евгений Олегович</t>
  </si>
  <si>
    <t>240403038375</t>
  </si>
  <si>
    <t>ИП глава К(Ф)Х Захарьева Алефтина Ивановна</t>
  </si>
  <si>
    <t>ИП глава К(Ф)Х Мурадян Усик Альбертович</t>
  </si>
  <si>
    <t>ИП Малинчик Наталья Витальевна</t>
  </si>
  <si>
    <t>240400100201</t>
  </si>
  <si>
    <t>ИП Стрижнева Наталья Михайловна</t>
  </si>
  <si>
    <t>240401631460</t>
  </si>
  <si>
    <t>СКПК "Багульник"</t>
  </si>
  <si>
    <t>2404008898</t>
  </si>
  <si>
    <t>Березовский Итог</t>
  </si>
  <si>
    <t>Бирилюсский</t>
  </si>
  <si>
    <t>ИП глава К(Ф)Х Арсланов Минсалих Фахруллович</t>
  </si>
  <si>
    <t>ИП глава К(Ф)Х Ильин Иван Сергеевич</t>
  </si>
  <si>
    <t>ИП глава К(Ф)Х Матич Виктор Викторович</t>
  </si>
  <si>
    <t>240501340880</t>
  </si>
  <si>
    <t>ИП глава К(Ф)Х Майер Александр Андреевич</t>
  </si>
  <si>
    <t>240500195292</t>
  </si>
  <si>
    <t>ИП глава К(Ф)Х Осипов Василий Дмитриевич</t>
  </si>
  <si>
    <t>ИП глава К(Ф)Х Сидоров Владимир Николаевич</t>
  </si>
  <si>
    <t>240500181300</t>
  </si>
  <si>
    <t>ИП глава К(Ф)Х Стацук Валентина Петровна</t>
  </si>
  <si>
    <t>ИП глава К(Ф)Х Федяев Станислав Валентинович</t>
  </si>
  <si>
    <t>ИП глава К(Ф)Х Филонов Александр Алексеевич</t>
  </si>
  <si>
    <t>Бирилюсский Итог</t>
  </si>
  <si>
    <t>Большемуртинский</t>
  </si>
  <si>
    <t>АО "Свинокомплекс "Красноярский"</t>
  </si>
  <si>
    <t>Большемуртинский (Красноярск)</t>
  </si>
  <si>
    <t>ООО "АгроЭлита"</t>
  </si>
  <si>
    <t>2435006266</t>
  </si>
  <si>
    <t>СПК "Юбилейный"</t>
  </si>
  <si>
    <t>2408000138</t>
  </si>
  <si>
    <t>СПК " Колхоз "Рассвет"</t>
  </si>
  <si>
    <t>2408000184</t>
  </si>
  <si>
    <t>ИП глава К(Ф)Х Горбунов Валерий Александрович</t>
  </si>
  <si>
    <t>240800012937</t>
  </si>
  <si>
    <t>ИП глава К(Ф)Х Добрынин Владимир Витальевич</t>
  </si>
  <si>
    <t>240800588921</t>
  </si>
  <si>
    <t>ИП глава К(Ф)Х Краскович Леонид Константинович</t>
  </si>
  <si>
    <t>240800029560</t>
  </si>
  <si>
    <t>ИП глава К(Ф)Х Кульба Сергей Петрович</t>
  </si>
  <si>
    <t>240800656280</t>
  </si>
  <si>
    <t>ИП глава К(Ф)Х Нарутто Владимир Викторович</t>
  </si>
  <si>
    <t>240800066308</t>
  </si>
  <si>
    <t>ИП глава К(Ф)Х Николаев Виталий Иванович</t>
  </si>
  <si>
    <t>240800763877</t>
  </si>
  <si>
    <t>ИП глава К(Ф)Х Никитина Наталья Владимировна</t>
  </si>
  <si>
    <t xml:space="preserve">240800032370 </t>
  </si>
  <si>
    <t>ИП глава К(Ф)Х Отап Владимир Валерьевич</t>
  </si>
  <si>
    <t>240801857172</t>
  </si>
  <si>
    <t>ИП глава К(Ф)Х Хасанов Абдухолик Махсудович</t>
  </si>
  <si>
    <t>246522486786</t>
  </si>
  <si>
    <t>ИП глава К(Ф)Х Украинский Виктор Самуилович</t>
  </si>
  <si>
    <t>240800526820</t>
  </si>
  <si>
    <t>ИП Прохоренко Юрий Владимирович</t>
  </si>
  <si>
    <t>240800235154</t>
  </si>
  <si>
    <t>ИП глава К(Ф)Х Титов Евгений Михайлович</t>
  </si>
  <si>
    <t>Большемуртинский Итог</t>
  </si>
  <si>
    <t>Боготольский</t>
  </si>
  <si>
    <t>ООО "Боготольская птицефабрика"</t>
  </si>
  <si>
    <t>2444001320</t>
  </si>
  <si>
    <t>ООО "Весна"</t>
  </si>
  <si>
    <t>ООО "Зеленый мир"</t>
  </si>
  <si>
    <t>2444302977</t>
  </si>
  <si>
    <t>ИП глава К(Ф)Х Гнетов Иван Николаевич</t>
  </si>
  <si>
    <t>244402092680</t>
  </si>
  <si>
    <t>ИП глава К(Ф)Х Доброходов Дмитрий Николаевич</t>
  </si>
  <si>
    <t>244402407404</t>
  </si>
  <si>
    <t>ИП глава К(Ф)Х Коротченко Виталий Александрович</t>
  </si>
  <si>
    <t>ИП глава К(Ф)Х Макулов Евгений Ваильевич</t>
  </si>
  <si>
    <t>244402012692</t>
  </si>
  <si>
    <t>ИП Попов Михаил Петрович</t>
  </si>
  <si>
    <t>244401211409</t>
  </si>
  <si>
    <t>ИП глава К(Ф)Х Швец Виктор Игнатьевич</t>
  </si>
  <si>
    <t>Боготольский Итог</t>
  </si>
  <si>
    <t>Большеулуйский</t>
  </si>
  <si>
    <t>240900016237</t>
  </si>
  <si>
    <t>240900351644</t>
  </si>
  <si>
    <t>Большеулуйский Итог</t>
  </si>
  <si>
    <t>Дзержинский</t>
  </si>
  <si>
    <t>ООО "Агролес"</t>
  </si>
  <si>
    <t>2410003168</t>
  </si>
  <si>
    <t>ООО "Артель"</t>
  </si>
  <si>
    <t>2410000664</t>
  </si>
  <si>
    <t>2410003506</t>
  </si>
  <si>
    <t>ООО "Мокрый Ельник"</t>
  </si>
  <si>
    <t>ООО "Таежное"</t>
  </si>
  <si>
    <t>2410003633</t>
  </si>
  <si>
    <t xml:space="preserve">ООО "Танай" </t>
  </si>
  <si>
    <t>ООО Агрофирма "Дзержинская"</t>
  </si>
  <si>
    <t>2410003520</t>
  </si>
  <si>
    <t>2410000329</t>
  </si>
  <si>
    <t>СПК "Диана"</t>
  </si>
  <si>
    <t>СПК "Красный Маяк"</t>
  </si>
  <si>
    <t>2410000696</t>
  </si>
  <si>
    <t>СПК "Манганово"</t>
  </si>
  <si>
    <t>2410000343</t>
  </si>
  <si>
    <t>ИП Васильев Андрей Федорович</t>
  </si>
  <si>
    <t>241000066484</t>
  </si>
  <si>
    <t>ИП глава К(Ф)Х Иванов Евгений Владимирович</t>
  </si>
  <si>
    <t>ИП глава К(Ф)Х Нечистовский Иван Григорьевич</t>
  </si>
  <si>
    <t>ИП глава К(Ф)Х Шилов Геннадий Михайлович</t>
  </si>
  <si>
    <t>ИП глава К(Ф)Х Шулбаев Андрей Кириллович</t>
  </si>
  <si>
    <t xml:space="preserve">241000058130 </t>
  </si>
  <si>
    <t>ИП глава К(Ф)Х Зинкевич Виктор Михайлович</t>
  </si>
  <si>
    <t>241000020401</t>
  </si>
  <si>
    <t>ИП глава К(Ф)Х Мартынов Дмитрий Викторович</t>
  </si>
  <si>
    <t>ИП глава К(Ф)Х Марфин Николай Николаевич</t>
  </si>
  <si>
    <t>ИП глава К(Ф)Х Тимофеева Татьяна Матвеевна</t>
  </si>
  <si>
    <t>ИП глава К(Ф)Х Аверьянов Дмитрий Петрович</t>
  </si>
  <si>
    <t>241000587279</t>
  </si>
  <si>
    <t>ИП глава К(Ф)Х Воронцова Людмила Александровна</t>
  </si>
  <si>
    <t>ИП глава К(Ф)Х Пасынков Михаил Михайлович</t>
  </si>
  <si>
    <t>ИП глава К(Ф)Х Соловьева Елена Викторовна</t>
  </si>
  <si>
    <t>ИП Гуров Денис Владимирович</t>
  </si>
  <si>
    <t xml:space="preserve">ИП Ковалев Вадим Владимирович </t>
  </si>
  <si>
    <t>241000163008</t>
  </si>
  <si>
    <t>ИП Свищёва Валентина Ефимовна</t>
  </si>
  <si>
    <t>ИП Тимофеева Зоя Владимировна</t>
  </si>
  <si>
    <t>241000914039</t>
  </si>
  <si>
    <t>ИП Нурутдинов Рафаэль Галиевич</t>
  </si>
  <si>
    <t>СППК "Васильев-С"</t>
  </si>
  <si>
    <t>2410002118</t>
  </si>
  <si>
    <t>Дзержинский Итог</t>
  </si>
  <si>
    <t>Емельяновский</t>
  </si>
  <si>
    <t>ОАО "Красноярскагроплем"</t>
  </si>
  <si>
    <t>ОАО "Птицефабрика "Заря"</t>
  </si>
  <si>
    <t xml:space="preserve">ООО "Емельяновское" </t>
  </si>
  <si>
    <t>ООО "Емельяновские вкусняшки"</t>
  </si>
  <si>
    <t>ООО "Пахарь"</t>
  </si>
  <si>
    <t>ООО "Шуваево-1"</t>
  </si>
  <si>
    <t>ООО СХП "Мустанг"</t>
  </si>
  <si>
    <t>2411017117</t>
  </si>
  <si>
    <t>ИП глава К(Ф)Х Баурин Максим Анатольевич</t>
  </si>
  <si>
    <t>ИП глава К(Ф)Х Апанасенко Сергей Сергеевич</t>
  </si>
  <si>
    <t>ИП глава К(Ф)Х Дубровный Андрей Николаевич</t>
  </si>
  <si>
    <t>241103889641</t>
  </si>
  <si>
    <t>ИП глава К(Ф)Х Похабов Валерий Федорович</t>
  </si>
  <si>
    <t>ИП глава К(Ф)Х Совин Валерий Семенович</t>
  </si>
  <si>
    <t>246308862294</t>
  </si>
  <si>
    <t>ИП глава К(Ф)Х Шихздаев Закидин Раудинович</t>
  </si>
  <si>
    <t>ИП глава К(Ф)Х Ибрагимов Пашша Сулейманович</t>
  </si>
  <si>
    <t>Емельяновский Итог</t>
  </si>
  <si>
    <t>Енисейский</t>
  </si>
  <si>
    <t>ОАО "Абалаковский АПК"</t>
  </si>
  <si>
    <t>2447010690</t>
  </si>
  <si>
    <t xml:space="preserve">ООО "Анциферовское" </t>
  </si>
  <si>
    <t>2447004961</t>
  </si>
  <si>
    <t>ООО "Надежда"</t>
  </si>
  <si>
    <t>СПК "Сибирь"</t>
  </si>
  <si>
    <t>СППК "Марусино детство"</t>
  </si>
  <si>
    <t>2447012352</t>
  </si>
  <si>
    <t>Енисейский Итог</t>
  </si>
  <si>
    <t>Ермаковский</t>
  </si>
  <si>
    <t>ООО "Ермак"</t>
  </si>
  <si>
    <t>2413007280</t>
  </si>
  <si>
    <t>ИП глава К(Ф)Х Магеря Ольга Борисовна</t>
  </si>
  <si>
    <t xml:space="preserve">190116757777 </t>
  </si>
  <si>
    <t>ИП глава К(Ф)Х Миллер Юрий Владимирович</t>
  </si>
  <si>
    <t>241300088908</t>
  </si>
  <si>
    <t>ИП глава К(Ф)Х Кускашев Николай Дмитриевич</t>
  </si>
  <si>
    <t>241301151479</t>
  </si>
  <si>
    <t>Ермаковский Итог</t>
  </si>
  <si>
    <t>Идринский</t>
  </si>
  <si>
    <t xml:space="preserve">ЗАО "Телекское" </t>
  </si>
  <si>
    <t>2414002655</t>
  </si>
  <si>
    <t>ООО "Алексей"</t>
  </si>
  <si>
    <t>2414060745</t>
  </si>
  <si>
    <t>ООО "Байтак"</t>
  </si>
  <si>
    <t>2414060953</t>
  </si>
  <si>
    <t>ООО "Восход"</t>
  </si>
  <si>
    <t>2414060865</t>
  </si>
  <si>
    <t>ИП глава К(Ф)Х Баранов Александр Юрьевич</t>
  </si>
  <si>
    <t>2414004028</t>
  </si>
  <si>
    <t>ООО "Ирина"</t>
  </si>
  <si>
    <t>2414002091</t>
  </si>
  <si>
    <t>ООО "Маяк"</t>
  </si>
  <si>
    <t>2414004155</t>
  </si>
  <si>
    <t>ООО "Элита"</t>
  </si>
  <si>
    <t>2414060760</t>
  </si>
  <si>
    <t>Идринский (г. Красноярск)</t>
  </si>
  <si>
    <t>ООО СПК "Золотая Нива"</t>
  </si>
  <si>
    <t>2466228614</t>
  </si>
  <si>
    <t>СПК "Сывель"</t>
  </si>
  <si>
    <t>2414004050</t>
  </si>
  <si>
    <t xml:space="preserve">СХПК "Весна" </t>
  </si>
  <si>
    <t>2414002119</t>
  </si>
  <si>
    <t>ИП глава К(Ф)Х Гесс Владимир Готфридович</t>
  </si>
  <si>
    <t>ИП глава К(Ф)Х Усенко Николай Яковлевич</t>
  </si>
  <si>
    <t xml:space="preserve">241400938235 </t>
  </si>
  <si>
    <t xml:space="preserve">241400333279 </t>
  </si>
  <si>
    <t>246200556661</t>
  </si>
  <si>
    <t>ИП глава К(Ф)Х Щипакина Елена Сергеевна</t>
  </si>
  <si>
    <t>ИП глава К(Ф)Х Подлевский Александр Васильевич</t>
  </si>
  <si>
    <t>241400464923</t>
  </si>
  <si>
    <t>ИП глава К(Ф)Х Костькин Василий Александрович</t>
  </si>
  <si>
    <t>241406547012</t>
  </si>
  <si>
    <t>ИП глава К(Ф)Х Баранников Николай Николаевич</t>
  </si>
  <si>
    <t>СПоК "Мяско"</t>
  </si>
  <si>
    <t>2414003850</t>
  </si>
  <si>
    <t>ССПК "Гавань"</t>
  </si>
  <si>
    <t>2414003899</t>
  </si>
  <si>
    <t>Идринский Итог</t>
  </si>
  <si>
    <t>Иланский</t>
  </si>
  <si>
    <t xml:space="preserve">СХПК "Им. VII съезда Советов" </t>
  </si>
  <si>
    <t>2415000756</t>
  </si>
  <si>
    <t>ИП глава К(Ф)Х Анохин Александр Анатольевич</t>
  </si>
  <si>
    <t>241500903885</t>
  </si>
  <si>
    <t>ИП глава К(Ф)Х Беляшов Анатолий Александрович</t>
  </si>
  <si>
    <t>ИП глава К(Ф)Х Курьянович Алексей Егорович</t>
  </si>
  <si>
    <t xml:space="preserve">241500352998 </t>
  </si>
  <si>
    <t>ИП глава К(Ф)Х Мишуренко Александр Петрович</t>
  </si>
  <si>
    <t>241501147695</t>
  </si>
  <si>
    <t>ИП глава К(Ф)Х Семенюк Андрей Валентинович</t>
  </si>
  <si>
    <t>245006300258</t>
  </si>
  <si>
    <t>ИП глава К(Ф)Х Слепенков Валерий Александрович</t>
  </si>
  <si>
    <t>241500610663</t>
  </si>
  <si>
    <t>ИП глава К(Ф)Х Тулин Дмитрий Николаевич</t>
  </si>
  <si>
    <t>241501428086</t>
  </si>
  <si>
    <t>ИП глава К(Ф)Х Корольков Сергей Григорьевич</t>
  </si>
  <si>
    <t>ИП глава К(Ф)Х Шилин Александр Степанович</t>
  </si>
  <si>
    <t>245010173588</t>
  </si>
  <si>
    <t>ИП глава К(Ф)Х Симашкевич Виктор Александрович</t>
  </si>
  <si>
    <t>ИП глава К(Ф)Х Камоцкий Василий Александрович</t>
  </si>
  <si>
    <t>2415001380</t>
  </si>
  <si>
    <t>Иланский Итог</t>
  </si>
  <si>
    <t>Ирбейский</t>
  </si>
  <si>
    <t>ООО "Михайловское"</t>
  </si>
  <si>
    <t>2416060853</t>
  </si>
  <si>
    <t>СПК "Майский"</t>
  </si>
  <si>
    <t>2416005789</t>
  </si>
  <si>
    <t>ИП Архипов Андрей Николаевич</t>
  </si>
  <si>
    <t>Ассоциация КХ "Червянское"</t>
  </si>
  <si>
    <t>2416002160</t>
  </si>
  <si>
    <t>ИП глава К(Ф)Х Заводян Александр Михайлович</t>
  </si>
  <si>
    <t>241600317838</t>
  </si>
  <si>
    <t>ИП глава К(Ф)Х Гузенков Михаил Иванович</t>
  </si>
  <si>
    <t>241600728073</t>
  </si>
  <si>
    <t>ИП глава К(Ф)Х Ковригин Александр Александрович</t>
  </si>
  <si>
    <t>ИП глава К(Ф)Х Кокарев Роман Валерьевич</t>
  </si>
  <si>
    <t>241601089334</t>
  </si>
  <si>
    <t>ИП глава К(Ф)Х Кононенко Евгений Николаевич</t>
  </si>
  <si>
    <t>241600509709</t>
  </si>
  <si>
    <t>ИП глава К(Ф)Х Мирошниченко Михаил Сергеевич</t>
  </si>
  <si>
    <t>241601958707</t>
  </si>
  <si>
    <t>ИП глава К(Ф)Х Новоселов Сергей Владимирович</t>
  </si>
  <si>
    <t>241601127928</t>
  </si>
  <si>
    <t>ИП глава К(Ф)Х Роглет Ольга Викторовна</t>
  </si>
  <si>
    <t>241600567490</t>
  </si>
  <si>
    <t>ИП Протасов Сергей Владимирович</t>
  </si>
  <si>
    <t>241600013621</t>
  </si>
  <si>
    <t>ИП глава К(Ф)Х Шаров Владимир Владимирович</t>
  </si>
  <si>
    <t>241600272658</t>
  </si>
  <si>
    <t>ИП глава К(Ф)Х Жандоров Владимир Владимирович</t>
  </si>
  <si>
    <t>ИП глава К(Ф)Х Стась Алексей Леонидович</t>
  </si>
  <si>
    <t>241600567884</t>
  </si>
  <si>
    <t>ИП глава К(Ф)Х Лапо Инна Владимировна</t>
  </si>
  <si>
    <t>245002493009</t>
  </si>
  <si>
    <t>ИП глава К(Ф)Х Полыхань Никита Владимирович</t>
  </si>
  <si>
    <t>ИП глава К(Ф)Х Вершков Сергей Андреевич</t>
  </si>
  <si>
    <t>ИП глава К(Ф)Х Горбаткина Тамара Михайловна</t>
  </si>
  <si>
    <t xml:space="preserve">КХ "Виншу" </t>
  </si>
  <si>
    <t>2416002202</t>
  </si>
  <si>
    <t>КХ "Колос"</t>
  </si>
  <si>
    <t>2416002675</t>
  </si>
  <si>
    <t>КХ "Озерное"</t>
  </si>
  <si>
    <t>2416003478</t>
  </si>
  <si>
    <t>КХ "Луч"</t>
  </si>
  <si>
    <t>2416001079</t>
  </si>
  <si>
    <t>КХ "Похильченко"</t>
  </si>
  <si>
    <t>2416000558</t>
  </si>
  <si>
    <t xml:space="preserve">ФХ "Шанс" </t>
  </si>
  <si>
    <t>2416003189</t>
  </si>
  <si>
    <t>СПСК "МяСКО"</t>
  </si>
  <si>
    <t>2416006077</t>
  </si>
  <si>
    <t>Ирбейский Итог</t>
  </si>
  <si>
    <t>Казачинский</t>
  </si>
  <si>
    <t>ООО "Колос"</t>
  </si>
  <si>
    <t>2417003618</t>
  </si>
  <si>
    <t xml:space="preserve">СХА "Колхоз Заветы Ленина" </t>
  </si>
  <si>
    <t>2417001924</t>
  </si>
  <si>
    <t>ИП глава К(Ф)Х Воробьев Сергей Геннадьевич</t>
  </si>
  <si>
    <t>241700510024</t>
  </si>
  <si>
    <t>ИП глава К(Ф)Х Гисвайн Виктор Викторович</t>
  </si>
  <si>
    <t>ИП Алиев Маариф Бахрам Оглы</t>
  </si>
  <si>
    <t>241700066666</t>
  </si>
  <si>
    <t>Казачинский Итог</t>
  </si>
  <si>
    <t>Канский</t>
  </si>
  <si>
    <t xml:space="preserve">АО "Арефьевское" </t>
  </si>
  <si>
    <t>2450012909</t>
  </si>
  <si>
    <t xml:space="preserve">ЗАО "Большеуринское" </t>
  </si>
  <si>
    <t>2450012828</t>
  </si>
  <si>
    <t>2450021526</t>
  </si>
  <si>
    <t>ОАО "Новотаежное"</t>
  </si>
  <si>
    <t>2450013878</t>
  </si>
  <si>
    <t xml:space="preserve">ОАО "Тайнинское" </t>
  </si>
  <si>
    <t>2450013853</t>
  </si>
  <si>
    <t>2450013518</t>
  </si>
  <si>
    <t>СПК "Георгиевский"</t>
  </si>
  <si>
    <t>2450014423</t>
  </si>
  <si>
    <t>ООО "Филимоновский молочноконсервный комбинат"</t>
  </si>
  <si>
    <t>ИП Васильев Николай Яковлевич</t>
  </si>
  <si>
    <t>245002259190</t>
  </si>
  <si>
    <t>ИП глава К(Ф)Х Манкевич Александр Иванович</t>
  </si>
  <si>
    <t>245012658806</t>
  </si>
  <si>
    <t>ИП глава К(Ф)Х Макаров Василий Алексеевич</t>
  </si>
  <si>
    <t>ИП глава К(Ф)Х Морозов Николай Васильевич</t>
  </si>
  <si>
    <t>245002246803</t>
  </si>
  <si>
    <t>ИП глава К(Ф)Х Шерманов Василий Николаевич</t>
  </si>
  <si>
    <t>ИП глава К(Ф)Х Головко Вячеслав Валерьевич</t>
  </si>
  <si>
    <t>245001422823</t>
  </si>
  <si>
    <t>ИП глава К(Ф)Х Дылько Лидия Ивановна</t>
  </si>
  <si>
    <t>ИП Журавлев Анатолий Иванович</t>
  </si>
  <si>
    <t>245007147010</t>
  </si>
  <si>
    <t>ИП глава К(Ф)Х Ильенко Олег Владимирович</t>
  </si>
  <si>
    <t>ИП глава К(Ф)Х Фролов Александр Сергеевич</t>
  </si>
  <si>
    <t>КХ "Шпаковский К"</t>
  </si>
  <si>
    <t>2418000955</t>
  </si>
  <si>
    <t>К(Ф)Х "Шрейдерово"</t>
  </si>
  <si>
    <t>2418004445</t>
  </si>
  <si>
    <t>2418000112</t>
  </si>
  <si>
    <t>К(Ф)Х "Стимул"</t>
  </si>
  <si>
    <t>2418000881</t>
  </si>
  <si>
    <t>Канский Итог</t>
  </si>
  <si>
    <t>Каратузский</t>
  </si>
  <si>
    <t xml:space="preserve">СХА (колхоз) им. Ленина </t>
  </si>
  <si>
    <t>2419004230</t>
  </si>
  <si>
    <t>241901078319</t>
  </si>
  <si>
    <t>ИП глава К(Ф)Х Брамман Иван Карлович</t>
  </si>
  <si>
    <t>241900219052</t>
  </si>
  <si>
    <t>ИП глава К(Ф)Х Абельтин Александр Рудольфович</t>
  </si>
  <si>
    <t>241900034870</t>
  </si>
  <si>
    <t>ИП глава К(Ф)Х Винокуров Сергей Михайлович</t>
  </si>
  <si>
    <t>241900184378</t>
  </si>
  <si>
    <t>ИП глава К(Ф)Х Козлов Олег Васильевич</t>
  </si>
  <si>
    <t>241900170880</t>
  </si>
  <si>
    <t>ИП глава К(Ф)Х Курносов Сергей Анатольевич</t>
  </si>
  <si>
    <t>241901498560</t>
  </si>
  <si>
    <t>ИП глава К(Ф)Х Ребекин Николай Николаевич</t>
  </si>
  <si>
    <t> 241900884980</t>
  </si>
  <si>
    <t>ИП глава К(Ф)Х Немков Антон Александрович</t>
  </si>
  <si>
    <t>190117793288</t>
  </si>
  <si>
    <t>472300018008</t>
  </si>
  <si>
    <t>ССПК "Березка"</t>
  </si>
  <si>
    <t>2419005579</t>
  </si>
  <si>
    <t>СХОППК "Клевер"</t>
  </si>
  <si>
    <t>2419005240</t>
  </si>
  <si>
    <t>Каратузский Итог</t>
  </si>
  <si>
    <t>Кежемский</t>
  </si>
  <si>
    <t>Кежемский Итог</t>
  </si>
  <si>
    <t>Козульский</t>
  </si>
  <si>
    <t>ООО "Таежный"</t>
  </si>
  <si>
    <t>2421003378</t>
  </si>
  <si>
    <t>246507102700</t>
  </si>
  <si>
    <t>ИП глава К(Ф)Х Сазонкина Екатерина Юрьевна</t>
  </si>
  <si>
    <t>242101839781</t>
  </si>
  <si>
    <t>Козульский Итог</t>
  </si>
  <si>
    <t>Краснотуранский</t>
  </si>
  <si>
    <t>АО "Тубинск"</t>
  </si>
  <si>
    <t>2422392039</t>
  </si>
  <si>
    <t>АО племзавод "Краснотуранский"</t>
  </si>
  <si>
    <t>2422000027</t>
  </si>
  <si>
    <t>СПК "Парус"</t>
  </si>
  <si>
    <t>2422000588</t>
  </si>
  <si>
    <t>СПК "Риск"</t>
  </si>
  <si>
    <t>2422391959</t>
  </si>
  <si>
    <t>2422000852</t>
  </si>
  <si>
    <t>СПССК "Лидер"</t>
  </si>
  <si>
    <t>2423014061</t>
  </si>
  <si>
    <t>ООО "Медведь"</t>
  </si>
  <si>
    <t>2422002923</t>
  </si>
  <si>
    <t>ООО "Русь"</t>
  </si>
  <si>
    <t>2422002994</t>
  </si>
  <si>
    <t>ООО "Дон"</t>
  </si>
  <si>
    <t>2423014054</t>
  </si>
  <si>
    <t>ИП глава К(Ф)Х Бендер Яков Викторович</t>
  </si>
  <si>
    <t>242200454870</t>
  </si>
  <si>
    <t>ИП глава К(Ф)Х Аникин Владимир Деонисович</t>
  </si>
  <si>
    <t>242200037901</t>
  </si>
  <si>
    <t>ИП глава К(Ф)Х Видергольд Юрий Эдуардович</t>
  </si>
  <si>
    <t>242200064493</t>
  </si>
  <si>
    <t>ИП глава К(Ф)Х Гельвер Александр Оскарович</t>
  </si>
  <si>
    <t>242200384655</t>
  </si>
  <si>
    <t>ИП глава К(Ф)Х Стрелков Андрей Анатольевич</t>
  </si>
  <si>
    <t>242201114362</t>
  </si>
  <si>
    <t>ИП глава К(Ф)Х Трубинская Анна Филипповна</t>
  </si>
  <si>
    <t xml:space="preserve">242201010821 </t>
  </si>
  <si>
    <t>242200106070</t>
  </si>
  <si>
    <t>ИП глава К(Ф)Х Крысенко Галина Николаевна</t>
  </si>
  <si>
    <t>242200638170</t>
  </si>
  <si>
    <t>ИП глава К(Ф)Х Мерикин Дмитрий Павлович</t>
  </si>
  <si>
    <t>ИП глава К(Ф)Х Прокопенко Виктор Борисович</t>
  </si>
  <si>
    <t>242200027332</t>
  </si>
  <si>
    <t>ИП глава К(Ф)Х Соколов Александр Павлович</t>
  </si>
  <si>
    <t>242200037838</t>
  </si>
  <si>
    <t>ИП глава К(Ф)Х Соколов Сергей Владимирович</t>
  </si>
  <si>
    <t>242200248645</t>
  </si>
  <si>
    <t>ИП глава К(Ф)Х Школин Константин Анатольевич</t>
  </si>
  <si>
    <t>242200113687</t>
  </si>
  <si>
    <t>ИП глава К(Ф)Х Школин Николай Степанович</t>
  </si>
  <si>
    <t>ИП глава К(Ф)Х Островерхов Виктор Николаевич</t>
  </si>
  <si>
    <t>ИП глава К(Ф)Х Семенов Александр Викторович</t>
  </si>
  <si>
    <t>ИП Земба Александр Данилович</t>
  </si>
  <si>
    <t>242200305935</t>
  </si>
  <si>
    <t>СПСК "Беркут"</t>
  </si>
  <si>
    <t>2422003469</t>
  </si>
  <si>
    <t>ССПСК "Партнер"</t>
  </si>
  <si>
    <t>2422003910</t>
  </si>
  <si>
    <t>ПССПК "Агросибком-М"</t>
  </si>
  <si>
    <t>2422003645</t>
  </si>
  <si>
    <t>ПССПК "Туран"</t>
  </si>
  <si>
    <t>2422003701</t>
  </si>
  <si>
    <t>Краснотуранский Итог</t>
  </si>
  <si>
    <t>Курагинский</t>
  </si>
  <si>
    <t>АО "Березовское"</t>
  </si>
  <si>
    <t>2423009953</t>
  </si>
  <si>
    <t xml:space="preserve">ЗАО "Имисское" </t>
  </si>
  <si>
    <t>2423010003</t>
  </si>
  <si>
    <t xml:space="preserve">ЗАО "Марининское" </t>
  </si>
  <si>
    <t>2423009946</t>
  </si>
  <si>
    <t>ООО "Сибирь-Агро"</t>
  </si>
  <si>
    <t>2423012875</t>
  </si>
  <si>
    <t>ООО "Шалоболинское"</t>
  </si>
  <si>
    <t>2423011920</t>
  </si>
  <si>
    <t>2423002228</t>
  </si>
  <si>
    <t>СХООО "Семена"</t>
  </si>
  <si>
    <t>2423006984</t>
  </si>
  <si>
    <t>2423000911</t>
  </si>
  <si>
    <t xml:space="preserve">КХ "Кипсей" </t>
  </si>
  <si>
    <t>2423001827</t>
  </si>
  <si>
    <t>2423000929</t>
  </si>
  <si>
    <t>СПССК"Сибирское Беловодье"</t>
  </si>
  <si>
    <t>Курагинский Итог</t>
  </si>
  <si>
    <t>Манский</t>
  </si>
  <si>
    <t>ООО "Агрохолдинг Камарчагский"</t>
  </si>
  <si>
    <t>2424003104</t>
  </si>
  <si>
    <t>ООО "Искра"</t>
  </si>
  <si>
    <t>2424005609</t>
  </si>
  <si>
    <t>ИП глава К(Ф)Х Докторук Роман Павлович</t>
  </si>
  <si>
    <t>242400376852</t>
  </si>
  <si>
    <t>ИП глава К(Ф)Х Герасимов Олег Васильевич</t>
  </si>
  <si>
    <t>ИП глава К(Ф)Х Зотин Андрей Валерьевич</t>
  </si>
  <si>
    <t>ИП глава К(Ф)Х Кайвомага Павел Николаевич</t>
  </si>
  <si>
    <t>ИП глава К(Ф)Х Шелегова Людмила Викторовна</t>
  </si>
  <si>
    <t>ИП глава К(Ф)Х Шевченко Сергей Леонидович</t>
  </si>
  <si>
    <t>ИП Донзаленко Сергей Петрович</t>
  </si>
  <si>
    <t>СПСК "Ивановский"</t>
  </si>
  <si>
    <t>2424006480</t>
  </si>
  <si>
    <t>Манский Итог</t>
  </si>
  <si>
    <t>Минусинский</t>
  </si>
  <si>
    <t>ЗАО "Искра Ленина "</t>
  </si>
  <si>
    <t>2455021760</t>
  </si>
  <si>
    <t>ООО "Ноябрь-Агро"</t>
  </si>
  <si>
    <t>2455028645</t>
  </si>
  <si>
    <t xml:space="preserve">ООО "Тигрицкое" </t>
  </si>
  <si>
    <t>2455028130</t>
  </si>
  <si>
    <t>ООО "Иджюль"</t>
  </si>
  <si>
    <t>2442011348</t>
  </si>
  <si>
    <t>2455018559</t>
  </si>
  <si>
    <t>ООО "Заря"</t>
  </si>
  <si>
    <t>2455017604</t>
  </si>
  <si>
    <t>ООО "Кавказское"</t>
  </si>
  <si>
    <t>2455029198</t>
  </si>
  <si>
    <t>ООО "Ничкинское"</t>
  </si>
  <si>
    <t>2455027232</t>
  </si>
  <si>
    <t>2425000674</t>
  </si>
  <si>
    <t>ООО "Агат-1"</t>
  </si>
  <si>
    <t>2455016671</t>
  </si>
  <si>
    <t>ООО Агрокомплекс "Минусинский"</t>
  </si>
  <si>
    <t>2455023196</t>
  </si>
  <si>
    <t>ООО "Быстрянское"</t>
  </si>
  <si>
    <t>2455025789</t>
  </si>
  <si>
    <t>ИП К(Ф)Х Ракитянский Игорь Алексеевич</t>
  </si>
  <si>
    <t xml:space="preserve">242500008147 </t>
  </si>
  <si>
    <t>ИП глава К(Ф)Х Нефедов Сергей Викторович</t>
  </si>
  <si>
    <t>245500446756</t>
  </si>
  <si>
    <t xml:space="preserve">ИП глава К(Ф)Х Фроленко Олег Сергеевич </t>
  </si>
  <si>
    <t>245510542032</t>
  </si>
  <si>
    <t>ИП глава К(Ф)Х Пиотровская Оксана Александровна</t>
  </si>
  <si>
    <t> 245503464908</t>
  </si>
  <si>
    <t>ИП глава К(Ф)Х Макарчук Сергей Адамович</t>
  </si>
  <si>
    <t>245506712997</t>
  </si>
  <si>
    <t>ИП глава К(Ф)Х Романенко Александр Иванович</t>
  </si>
  <si>
    <t>ИП глава К(Ф)Х Романова Вера Анатольевна</t>
  </si>
  <si>
    <t>245506368800</t>
  </si>
  <si>
    <t>ИП глава К(Ф)Х Савин Александр Владимирович</t>
  </si>
  <si>
    <t>245500597459</t>
  </si>
  <si>
    <t>ИП глава К(Ф)Х Смирнов Владимир Михайлович</t>
  </si>
  <si>
    <t>242500030294</t>
  </si>
  <si>
    <t>ИП глава К(Ф)Х Торгашин Гавриил Михайлович</t>
  </si>
  <si>
    <t>245503366530</t>
  </si>
  <si>
    <t>ИП глава К(Ф)Х Че-киль-лог Андрей Викторович</t>
  </si>
  <si>
    <t>245509168302</t>
  </si>
  <si>
    <t>ИП глава К(Ф)Х Хамуха Екатерина Юрьевна</t>
  </si>
  <si>
    <t>245502657551</t>
  </si>
  <si>
    <t>ИП глава К(Ф)Х Шарыпова Наталья Михайловна</t>
  </si>
  <si>
    <t>ИП глава К(Ф)Х Халатян Роман Махмадович</t>
  </si>
  <si>
    <t>ИП глава К(Ф)Х Факеева Людмила Анатольевна</t>
  </si>
  <si>
    <t>ИП Беспалов Андрей Александрович</t>
  </si>
  <si>
    <t>245501878357</t>
  </si>
  <si>
    <t>ИП Смирнова Наталья Владимировна</t>
  </si>
  <si>
    <t>245509199903</t>
  </si>
  <si>
    <t>ИП глава К(Ф)Х Хамуха Николай Николаевич</t>
  </si>
  <si>
    <t>242500007400</t>
  </si>
  <si>
    <t>ПССПК "ВЕГАС"</t>
  </si>
  <si>
    <t>2455034832</t>
  </si>
  <si>
    <t>ПССПК "Тесь"</t>
  </si>
  <si>
    <t>2455012721</t>
  </si>
  <si>
    <t>СПССК "Енисей"</t>
  </si>
  <si>
    <t>СПСК "Медведь"</t>
  </si>
  <si>
    <t>СПССОК "Агроплюс"</t>
  </si>
  <si>
    <t>2455030806</t>
  </si>
  <si>
    <t>ООО АПК "Правильные продукты"</t>
  </si>
  <si>
    <t>ОАО "Молоко"</t>
  </si>
  <si>
    <t>2455004154</t>
  </si>
  <si>
    <t>Минусинский Итог</t>
  </si>
  <si>
    <t>Назаровский</t>
  </si>
  <si>
    <t>ЗАО "Гляденское"</t>
  </si>
  <si>
    <t>2427000341</t>
  </si>
  <si>
    <t>АО Агрохолдинг "Сибиряк"</t>
  </si>
  <si>
    <t>ЗАО "Назаровское"</t>
  </si>
  <si>
    <t>2427000415</t>
  </si>
  <si>
    <t>ООО "Гляденское хлебоприемное"</t>
  </si>
  <si>
    <t>организации АПК (обслуга)</t>
  </si>
  <si>
    <t>ИП глава К(Ф)Х Колчанов Юрий Петрович</t>
  </si>
  <si>
    <t>245605203302</t>
  </si>
  <si>
    <t>Назаровский Итог</t>
  </si>
  <si>
    <t>Н-Ингашский</t>
  </si>
  <si>
    <t>2428002101</t>
  </si>
  <si>
    <t>ООО "Ингашский"</t>
  </si>
  <si>
    <t>2428005102</t>
  </si>
  <si>
    <t>2428004420</t>
  </si>
  <si>
    <t>ООО "Нива"</t>
  </si>
  <si>
    <t>2428004765</t>
  </si>
  <si>
    <t>ООО "Сокол"</t>
  </si>
  <si>
    <t>2428005208</t>
  </si>
  <si>
    <t>ИП глава К(Ф)Х Гуцев Виктор Юрьевич</t>
  </si>
  <si>
    <t>242802540830</t>
  </si>
  <si>
    <t>СССПК "Ивановский"</t>
  </si>
  <si>
    <t>2428004490</t>
  </si>
  <si>
    <t>Н-Ингашский Итог</t>
  </si>
  <si>
    <t>Новоселовский</t>
  </si>
  <si>
    <t xml:space="preserve">ЗАО "Интикульское" </t>
  </si>
  <si>
    <t>2429001238</t>
  </si>
  <si>
    <t xml:space="preserve">ЗАО "Новоселовское" </t>
  </si>
  <si>
    <t>2429000805</t>
  </si>
  <si>
    <t>ЗАО "Светлолобовское"</t>
  </si>
  <si>
    <t>2429000160</t>
  </si>
  <si>
    <t>ООО "Анаш"</t>
  </si>
  <si>
    <t>2429002873</t>
  </si>
  <si>
    <t>ООО "Иваново"</t>
  </si>
  <si>
    <t>2429471459</t>
  </si>
  <si>
    <t>ООО "Куллогское"</t>
  </si>
  <si>
    <t>2429002714</t>
  </si>
  <si>
    <t>ООО "Елена"</t>
  </si>
  <si>
    <t>2429002993</t>
  </si>
  <si>
    <t xml:space="preserve">ООО "Светлана" </t>
  </si>
  <si>
    <t>2429471441</t>
  </si>
  <si>
    <t xml:space="preserve">ООО "Содружество" </t>
  </si>
  <si>
    <t>ООО АПК "Колос"</t>
  </si>
  <si>
    <t>2429002464</t>
  </si>
  <si>
    <t>ИП глава К(Ф)Х Анциферов Иван Иванович</t>
  </si>
  <si>
    <t>242900106967</t>
  </si>
  <si>
    <t>ИП глава К(Ф)Х Белякин Владимир Николаевич</t>
  </si>
  <si>
    <t>242900051429</t>
  </si>
  <si>
    <t>242900164800</t>
  </si>
  <si>
    <t>ИП глава К(Ф)Х Вахрушева Ольга Васильевна</t>
  </si>
  <si>
    <t>ИП глава К(Ф)Х Вдовенко Николай Леонидович</t>
  </si>
  <si>
    <t>ИП глава К(Ф)Х Вензель Андрей Эйволдович</t>
  </si>
  <si>
    <t>242900186708</t>
  </si>
  <si>
    <t>ИП глава К(Ф)Х Виндерголлер Андрей Эвальдович</t>
  </si>
  <si>
    <t>242900191137</t>
  </si>
  <si>
    <t>242900855719</t>
  </si>
  <si>
    <t>ИП глава К(Ф)Х Гесс Николай Эрнстович</t>
  </si>
  <si>
    <t xml:space="preserve">242900228531 </t>
  </si>
  <si>
    <t>ИП глава К(Ф)Х Глушаков Анатолий Васильевич</t>
  </si>
  <si>
    <t>242900015572</t>
  </si>
  <si>
    <t>ИП глава К(Ф)Х Горн Виктор Иванович</t>
  </si>
  <si>
    <t>242900247164</t>
  </si>
  <si>
    <t>ИП глава К(Ф)Х Демидов Сергей Петрович</t>
  </si>
  <si>
    <t>242900264882</t>
  </si>
  <si>
    <t>ИП глава К(Ф)Х Евдокимов Николай Николаевич</t>
  </si>
  <si>
    <t>242900031133</t>
  </si>
  <si>
    <t>ИП глава К(Ф)Х Зайберт Александр Карлович</t>
  </si>
  <si>
    <t>242900306469</t>
  </si>
  <si>
    <t>ИП глава К(Ф)Х Зубарев Виктор Васильевич</t>
  </si>
  <si>
    <t>242900695303</t>
  </si>
  <si>
    <t>ИП глава К(Ф)Х Игнатенко Николай Федорович</t>
  </si>
  <si>
    <t>242900326507</t>
  </si>
  <si>
    <t>ИП глава К(Ф)Х Илюшенко Галина Яковлевна</t>
  </si>
  <si>
    <t>242900333261</t>
  </si>
  <si>
    <t>ИП глава К(Ф)Х Козелепов Анатолий Дмитриевич</t>
  </si>
  <si>
    <t>242900375600</t>
  </si>
  <si>
    <t>ИП глава К(Ф)Х Корнаков Иван Геннадьевич</t>
  </si>
  <si>
    <t>242900392612</t>
  </si>
  <si>
    <t>ИП глава К(Ф)Х Кохан Николай Михайлович</t>
  </si>
  <si>
    <t>242900405702</t>
  </si>
  <si>
    <t>ИП глава К(Ф)Х Любавин Валерий Геннадьевич</t>
  </si>
  <si>
    <t>242900460291</t>
  </si>
  <si>
    <t>ИП глава К(Ф)Х Майер Александр Эйвальдович</t>
  </si>
  <si>
    <t>242900053754</t>
  </si>
  <si>
    <t>ИП глава К(Ф)Х Маурер Сергей Александрович</t>
  </si>
  <si>
    <t>242901320138</t>
  </si>
  <si>
    <t>ИП глава К(Ф)Х Медведев Василий Валерьевич</t>
  </si>
  <si>
    <t>242900022932</t>
  </si>
  <si>
    <t>ИП глава К(Ф)Х Медведчук Анатолий Алексеевич</t>
  </si>
  <si>
    <t>242901058064</t>
  </si>
  <si>
    <t>ИП глава К(Ф)Х Миськов Николай Дмитриевич</t>
  </si>
  <si>
    <t>242900491719</t>
  </si>
  <si>
    <t>ИП глава К(Ф)Х Михайлов Александр Сергеевич</t>
  </si>
  <si>
    <t>ИП глава К(Ф)Х Михайлов Олег Александрович</t>
  </si>
  <si>
    <t>242903665586</t>
  </si>
  <si>
    <t>ИП глава К(Ф)Х Полежаева Наталья Александровна</t>
  </si>
  <si>
    <t>242900025041</t>
  </si>
  <si>
    <t>ИП глава К(Ф)Х Соломатов Андрей Михайлович</t>
  </si>
  <si>
    <t>242900646200</t>
  </si>
  <si>
    <t>242900008039</t>
  </si>
  <si>
    <t>ИП глава К(Ф)Х Хутиев Вадим Бамятгириевич</t>
  </si>
  <si>
    <t>242900808701</t>
  </si>
  <si>
    <t>ИП глава К(Ф)Х Цыглимов Александр Семенович</t>
  </si>
  <si>
    <t>242900698128</t>
  </si>
  <si>
    <t>ИП глава К(Ф)Х Цыглимов Анатолий Семенович</t>
  </si>
  <si>
    <t>246514926024</t>
  </si>
  <si>
    <t>ИП глава К(Ф)Х Цыглимов Семен Анатольевич</t>
  </si>
  <si>
    <t>246311325910</t>
  </si>
  <si>
    <t>ИП глава К(Ф)Х Чепурной Виктор Викторович</t>
  </si>
  <si>
    <t>242900732481</t>
  </si>
  <si>
    <t>ИП глава К(Ф)Х Шалько Андрей Николаевич</t>
  </si>
  <si>
    <t>242900732700</t>
  </si>
  <si>
    <t>ИП глава К(Ф)Х Швейцер Владимир Рихгардтович</t>
  </si>
  <si>
    <t>242900739857</t>
  </si>
  <si>
    <t>ИП глава К(Ф)Х Щербаков Анатолий Васильевич</t>
  </si>
  <si>
    <t>ИП глава К(Ф)Х Вильдяев Василий Алексеевич</t>
  </si>
  <si>
    <t>Новоселовский Итог</t>
  </si>
  <si>
    <t>Партизанский</t>
  </si>
  <si>
    <t>ООО "Богуславское"</t>
  </si>
  <si>
    <t>2430002726</t>
  </si>
  <si>
    <t>ООО "МИТК"</t>
  </si>
  <si>
    <t>2465260340</t>
  </si>
  <si>
    <t>ИП Кальбин Федор Владимирович</t>
  </si>
  <si>
    <t>243000055535</t>
  </si>
  <si>
    <t>ИП Канищев Александр Иванович</t>
  </si>
  <si>
    <t>243000057229</t>
  </si>
  <si>
    <t>ИП Лапехо Алексей Викторович</t>
  </si>
  <si>
    <t>243000806492</t>
  </si>
  <si>
    <t>ИП Радионов Сергей Николаевич</t>
  </si>
  <si>
    <t>243001022500</t>
  </si>
  <si>
    <t>Партизанский Итог</t>
  </si>
  <si>
    <t>Пировский</t>
  </si>
  <si>
    <t>ООО "Волоковое"</t>
  </si>
  <si>
    <t>2431002341</t>
  </si>
  <si>
    <t>ООО "Победа"</t>
  </si>
  <si>
    <t>2431002510</t>
  </si>
  <si>
    <t>ООО "СПК Тимершик"</t>
  </si>
  <si>
    <t>2431002750</t>
  </si>
  <si>
    <t>2431001411</t>
  </si>
  <si>
    <t>Пировский Итог</t>
  </si>
  <si>
    <t>Рыбинский</t>
  </si>
  <si>
    <t>ООО СПП "Энергия"</t>
  </si>
  <si>
    <t>2448004442</t>
  </si>
  <si>
    <t>СПК "Весна-плюс"</t>
  </si>
  <si>
    <t>2448002773</t>
  </si>
  <si>
    <t>2453014750</t>
  </si>
  <si>
    <t>ООО "Мильман-Агро"</t>
  </si>
  <si>
    <t>2448004386</t>
  </si>
  <si>
    <t>ООО "Налобинская птицефабрика"</t>
  </si>
  <si>
    <t xml:space="preserve"> 2448003777</t>
  </si>
  <si>
    <t>ООО ОПХ "Солянское"</t>
  </si>
  <si>
    <t>2448000110</t>
  </si>
  <si>
    <t>ИП глава К(Ф)Х Иванников Александр Артемович</t>
  </si>
  <si>
    <t>244800351207</t>
  </si>
  <si>
    <t>244802143844</t>
  </si>
  <si>
    <t>ИП глава К(Ф)Х Киселев Михаил Александрович</t>
  </si>
  <si>
    <t>ИП глава К(Ф)Х Кокарев Александр Анатольевич</t>
  </si>
  <si>
    <t>ИП глава К(Ф)Х Семененко Вадим Иванович</t>
  </si>
  <si>
    <t>ИП глава К(Ф)Х Семененко Виктор Иванович</t>
  </si>
  <si>
    <t>ИП глава К(Ф)Х Скобелин Андрей Семенович</t>
  </si>
  <si>
    <t>244802427050</t>
  </si>
  <si>
    <t>ИП глава К(Ф)Х Арутюнян Арсен Мнацаканович</t>
  </si>
  <si>
    <t>ИП глава К(Ф)Х Баранченко Сергей Михайлович</t>
  </si>
  <si>
    <t>ИП глава К(Ф)Х Цыганов Василий Александрович</t>
  </si>
  <si>
    <t>ИП Степаненко Валерий Алексеевич</t>
  </si>
  <si>
    <t>246308307484</t>
  </si>
  <si>
    <t>Рыбинский Итог</t>
  </si>
  <si>
    <t>Саянский</t>
  </si>
  <si>
    <t>ООО "Алант"</t>
  </si>
  <si>
    <t>2433002756</t>
  </si>
  <si>
    <t>ООО "Возраждение"</t>
  </si>
  <si>
    <t>2433003598</t>
  </si>
  <si>
    <t>ООО "Калиновское"</t>
  </si>
  <si>
    <t>2433002185</t>
  </si>
  <si>
    <t>ООО "Кристалл"</t>
  </si>
  <si>
    <t>2433003615</t>
  </si>
  <si>
    <t>ООО "Саяны"</t>
  </si>
  <si>
    <t>2433003809</t>
  </si>
  <si>
    <t>ООО "Свет"</t>
  </si>
  <si>
    <t>2433003887</t>
  </si>
  <si>
    <t>ООО "Сибиряк"</t>
  </si>
  <si>
    <t>2433003140</t>
  </si>
  <si>
    <t>ИП глава К(Ф)Х Агафонова Лариса Петровна</t>
  </si>
  <si>
    <t xml:space="preserve">246515722626 </t>
  </si>
  <si>
    <t>243300398491</t>
  </si>
  <si>
    <t>ИП глава К(Ф)Х Хиляс Алексей Александрович</t>
  </si>
  <si>
    <t>243301247022</t>
  </si>
  <si>
    <t>ИП глава К(Ф)Х Хиляс Александр Александрович</t>
  </si>
  <si>
    <t>243300365270</t>
  </si>
  <si>
    <t>ИП глава К(Ф)Х Черкасов Владимир Михайлович</t>
  </si>
  <si>
    <t>ИП глава К(Ф)Х Квасова Нина Владимировна</t>
  </si>
  <si>
    <t>ИП глава К(Ф)Х Карпенко Любовь Тимофеевна</t>
  </si>
  <si>
    <t>ИП Степанченок Николай Тимофеевич</t>
  </si>
  <si>
    <t>ИП Андропов Иван Иванович</t>
  </si>
  <si>
    <t>243301038540</t>
  </si>
  <si>
    <t>ИП глава К(Ф)Х Миллер Эдуард Владимирович</t>
  </si>
  <si>
    <t>Саянский Итог</t>
  </si>
  <si>
    <t>Сухобузимский</t>
  </si>
  <si>
    <t>ООО Учхоз "Миндерлинское"</t>
  </si>
  <si>
    <t>2435006322</t>
  </si>
  <si>
    <t>2435000715</t>
  </si>
  <si>
    <t>Акционерное общество "ЕнисейАгроСоюз"</t>
  </si>
  <si>
    <t>ООО Племзавод "Таежный"</t>
  </si>
  <si>
    <t>2435006435</t>
  </si>
  <si>
    <t xml:space="preserve">ООО СХП "Осень" </t>
  </si>
  <si>
    <t>2435000169</t>
  </si>
  <si>
    <t>СПК "Искра"</t>
  </si>
  <si>
    <t>2435004981</t>
  </si>
  <si>
    <t>ООО "СХП "Дары Малиновки"</t>
  </si>
  <si>
    <t>2435006330</t>
  </si>
  <si>
    <t>ООО "Объединение АгроЭлита"</t>
  </si>
  <si>
    <t>2435005713</t>
  </si>
  <si>
    <t>243500014022</t>
  </si>
  <si>
    <t>ИП глава К(Ф)Х Ващенко Александр Николаевич</t>
  </si>
  <si>
    <t>246003837712</t>
  </si>
  <si>
    <t>ИП глава К(Ф)Х Сидоренко Елена Андреевна</t>
  </si>
  <si>
    <t>ИП глава К(Ф)Х Бельтепетеров Василий Анатольевич</t>
  </si>
  <si>
    <t>243500030930</t>
  </si>
  <si>
    <t>ИП глава К(Ф)Х Молотков Андрей Николаевич</t>
  </si>
  <si>
    <t xml:space="preserve">243500927456 </t>
  </si>
  <si>
    <t>ИП глава К(Ф)Х Молотков Владимир Николаевич</t>
  </si>
  <si>
    <t xml:space="preserve">243500916609 </t>
  </si>
  <si>
    <t>ИП глава К(Ф)Х Фукс Андрей Иоганович</t>
  </si>
  <si>
    <t>К(Ф)Х Боровлева Сергея Алексеевича</t>
  </si>
  <si>
    <t>2435001204</t>
  </si>
  <si>
    <t>К(Ф)Х Старцева Олега Владимировича</t>
  </si>
  <si>
    <t>2435000867</t>
  </si>
  <si>
    <t>2435000810</t>
  </si>
  <si>
    <t>ИП глава К(Ф)Х Калиновский Евгений Викторович</t>
  </si>
  <si>
    <t>2460201581</t>
  </si>
  <si>
    <t>ИП глава К(Ф)Х Темпель Алексей Владимирович</t>
  </si>
  <si>
    <t>Сухобузимский Итог</t>
  </si>
  <si>
    <t>Тасеевский</t>
  </si>
  <si>
    <t>2436003807</t>
  </si>
  <si>
    <t>2436001091</t>
  </si>
  <si>
    <t>ООО "Тасеевский элеватор"</t>
  </si>
  <si>
    <t>2436004180</t>
  </si>
  <si>
    <t>ООО "Фаначет"</t>
  </si>
  <si>
    <t>2436000531</t>
  </si>
  <si>
    <t>2436001870</t>
  </si>
  <si>
    <t>ИП глава К(Ф)Х Гаврин Валерий Васильевич</t>
  </si>
  <si>
    <t>243601269228</t>
  </si>
  <si>
    <t>243600721770</t>
  </si>
  <si>
    <t>ИП глава К(Ф)Х Алексеев Михаил Васильевич</t>
  </si>
  <si>
    <t>243600819750</t>
  </si>
  <si>
    <t>ИП глава К(Ф)Х Машуков Алексей Александрович</t>
  </si>
  <si>
    <t>ИП глава К(Ф)Х Сладченко Александр Федорович</t>
  </si>
  <si>
    <t>ИП глава К(Ф)Х Борцов Виталий Михайлович</t>
  </si>
  <si>
    <t>ИП глава К(Ф)Х Якубович Владимир Владимирович</t>
  </si>
  <si>
    <t>ИП глава К(Ф)Х Киселев Валерий Александрович</t>
  </si>
  <si>
    <t>Тасеевский Итог</t>
  </si>
  <si>
    <t>Тюхтетский</t>
  </si>
  <si>
    <t>ИП глава К(Ф)Х Ажаров Виктор Анатольевич</t>
  </si>
  <si>
    <t>243800284728</t>
  </si>
  <si>
    <t>ИП глава К(Ф)Х Павлов Николай Константинович</t>
  </si>
  <si>
    <t>243800220869</t>
  </si>
  <si>
    <t>ИП глава К(Ф)Х Талаев Михаил Иванович</t>
  </si>
  <si>
    <t>243800007668</t>
  </si>
  <si>
    <t>ИП глава К(Ф)Х Тихонов Виктор Александрович</t>
  </si>
  <si>
    <t>243800014880</t>
  </si>
  <si>
    <t>Тюхтетский Итог</t>
  </si>
  <si>
    <t>Ужурский</t>
  </si>
  <si>
    <t xml:space="preserve">АО "Ильинское" </t>
  </si>
  <si>
    <t>2439000515</t>
  </si>
  <si>
    <t>2439001597</t>
  </si>
  <si>
    <t xml:space="preserve">АО "Солгон" </t>
  </si>
  <si>
    <t>2439001011</t>
  </si>
  <si>
    <t>2439005626</t>
  </si>
  <si>
    <t>ООО "Крестьяне"</t>
  </si>
  <si>
    <t>2439006997</t>
  </si>
  <si>
    <t>СПК "Андроновский"</t>
  </si>
  <si>
    <t>2439006034</t>
  </si>
  <si>
    <t>ИП глава К(Ф)Х Бесолов Ахсарбек Музаферович</t>
  </si>
  <si>
    <t>ИП глава К(Ф)Х Зайферт Евгений Эвальдович</t>
  </si>
  <si>
    <t>ИП глава К(Ф)Х Тихонов Николай Петрович</t>
  </si>
  <si>
    <t>243901391324</t>
  </si>
  <si>
    <t>ИП глава К(Ф)Х Черемных Александр Карпович</t>
  </si>
  <si>
    <t>243901736480</t>
  </si>
  <si>
    <t>ИП глава К(Ф)Х Агламзянов Сергей Борисович</t>
  </si>
  <si>
    <t>243902492237</t>
  </si>
  <si>
    <t>ИП глава К(Ф)Х Бацагин Евгений Николаевич</t>
  </si>
  <si>
    <t>243900046646</t>
  </si>
  <si>
    <t>ИП глава К(Ф)Х Бредихин Сергей Владимирович</t>
  </si>
  <si>
    <t>243900092071</t>
  </si>
  <si>
    <t>243902137881</t>
  </si>
  <si>
    <t>ИП глава К(Ф)Х Дробушевский Иван Иванович</t>
  </si>
  <si>
    <t>243900680010</t>
  </si>
  <si>
    <t>ИП глава К(Ф)Х Калугин Олег Ефимович</t>
  </si>
  <si>
    <t>243900780173</t>
  </si>
  <si>
    <t>ИП глава К(Ф)Х Посконный Валерий Александрович</t>
  </si>
  <si>
    <t xml:space="preserve">243902272200 </t>
  </si>
  <si>
    <t>ИП глава К(Ф)Х Рузавин Максим Николаевич</t>
  </si>
  <si>
    <t xml:space="preserve">243900220534 </t>
  </si>
  <si>
    <t>ИП глава К(Ф)Х Полуситов Михаил Михайлович</t>
  </si>
  <si>
    <t xml:space="preserve">КХ "Елена" </t>
  </si>
  <si>
    <t>2439000868</t>
  </si>
  <si>
    <t>Ужурский Итог</t>
  </si>
  <si>
    <t>Уярский</t>
  </si>
  <si>
    <t xml:space="preserve">ЗАО "Авдинское" </t>
  </si>
  <si>
    <t>2440004754</t>
  </si>
  <si>
    <t>ООО "Джед"</t>
  </si>
  <si>
    <t>2440007071</t>
  </si>
  <si>
    <t>ООО "Жандат"</t>
  </si>
  <si>
    <t>2440006952</t>
  </si>
  <si>
    <t>ООО "Кентавр"</t>
  </si>
  <si>
    <t>2440005797</t>
  </si>
  <si>
    <t>ООО "КХ "Голос"</t>
  </si>
  <si>
    <t>2440004987</t>
  </si>
  <si>
    <t>ООО "КХ "Кильчуг"</t>
  </si>
  <si>
    <t>2440005010</t>
  </si>
  <si>
    <t>ООО "КХ "Полесье"</t>
  </si>
  <si>
    <t>2440005370</t>
  </si>
  <si>
    <t>ООО "КХ "Родничок"</t>
  </si>
  <si>
    <t>2440005620</t>
  </si>
  <si>
    <t>ООО "Мария"</t>
  </si>
  <si>
    <t>2440005099</t>
  </si>
  <si>
    <t>ООО "Нектар"</t>
  </si>
  <si>
    <t>2440004306</t>
  </si>
  <si>
    <t>ООО "Новый век"</t>
  </si>
  <si>
    <t>2440005116</t>
  </si>
  <si>
    <t>ООО "Эдельвейс"</t>
  </si>
  <si>
    <t>2440007018</t>
  </si>
  <si>
    <t>ООО "ФХ "Раздолье"</t>
  </si>
  <si>
    <t>2440002210</t>
  </si>
  <si>
    <t>ИП глава К(Ф)Х Кононов Игорь Геннадьевич</t>
  </si>
  <si>
    <t>244001426664</t>
  </si>
  <si>
    <t>ИП глава К(Ф)Х Наконечный Сергей Владимирович</t>
  </si>
  <si>
    <t>244000411464</t>
  </si>
  <si>
    <t>ИП глава К(Ф)Х Кучман Сергей Анатольевич</t>
  </si>
  <si>
    <t>244001076931</t>
  </si>
  <si>
    <t>ИП глава К(Ф)Х Апонасенко Василий Николаевич</t>
  </si>
  <si>
    <t>ИП глава К(Ф)Х Евдокимов Александр Николаевич</t>
  </si>
  <si>
    <t>ИП глава К(Ф)Х Стомерс Максим Васильевич</t>
  </si>
  <si>
    <t>ИП глава К(Ф)Х Мукштадт Сергей Владимирович</t>
  </si>
  <si>
    <t>ИП глава К(Ф)Х Ковалев Дмитрий Васильевич</t>
  </si>
  <si>
    <t>ООО "Уярское ХПП"</t>
  </si>
  <si>
    <t>Уярский Итог</t>
  </si>
  <si>
    <t>Шарыповский</t>
  </si>
  <si>
    <t xml:space="preserve">ЗАО "Авангард" </t>
  </si>
  <si>
    <t>2441000054</t>
  </si>
  <si>
    <t>АО "Алтатское"</t>
  </si>
  <si>
    <t>2441001241</t>
  </si>
  <si>
    <t>ООО "ТРЭНЭКС"</t>
  </si>
  <si>
    <t>2459014442</t>
  </si>
  <si>
    <t>2459011547</t>
  </si>
  <si>
    <t>СХПК "Ивановский"</t>
  </si>
  <si>
    <t>2459012886</t>
  </si>
  <si>
    <t>ИП глава К(Ф)Х Багиров Агиль Нуру Оглы</t>
  </si>
  <si>
    <t>ИП Ефремов Николай Николаевич</t>
  </si>
  <si>
    <t>246508552042</t>
  </si>
  <si>
    <t>ИП Рапана Константин Иванович</t>
  </si>
  <si>
    <t>245900324368</t>
  </si>
  <si>
    <t>ИП Руднев Анатолий Степанович</t>
  </si>
  <si>
    <t>244100008611</t>
  </si>
  <si>
    <t>245905373633</t>
  </si>
  <si>
    <t>261600889450</t>
  </si>
  <si>
    <t>СППК "Родниковский"</t>
  </si>
  <si>
    <t>2459015372</t>
  </si>
  <si>
    <t>Шарыповский Итог</t>
  </si>
  <si>
    <t>Шушенский</t>
  </si>
  <si>
    <t xml:space="preserve">ЗАО "Сибирь-1" </t>
  </si>
  <si>
    <t>2442009902</t>
  </si>
  <si>
    <t>2442010344</t>
  </si>
  <si>
    <t>ИП глава К(Ф)Х Крашенинин Андрей Анатольевич</t>
  </si>
  <si>
    <t>ИП глава К(Ф)Х Спирин Николай Васильевич</t>
  </si>
  <si>
    <t>244200166844</t>
  </si>
  <si>
    <t>ИП глава К(Ф)Х Салосин Николай Николаевич</t>
  </si>
  <si>
    <t>190300853962</t>
  </si>
  <si>
    <t>ИП глава К(Ф)Х Юдин Антон Николаевич</t>
  </si>
  <si>
    <t xml:space="preserve">К(Ф)Х "Апилак" </t>
  </si>
  <si>
    <t>2442001212</t>
  </si>
  <si>
    <t>К(Ф)Х "Аристов А.Г."</t>
  </si>
  <si>
    <t>2442004118</t>
  </si>
  <si>
    <t>К(Ф)Х "Фадеево"</t>
  </si>
  <si>
    <t>2442001798</t>
  </si>
  <si>
    <t>ИП Светлолобов Николай Борисович</t>
  </si>
  <si>
    <t>244200134049</t>
  </si>
  <si>
    <t>ООО "Саянмолоко"</t>
  </si>
  <si>
    <t>Шушенский Итог</t>
  </si>
  <si>
    <t>г .Красноярск</t>
  </si>
  <si>
    <t>ООО "Красноярский комбикормовый завод"</t>
  </si>
  <si>
    <t>ООО "Атамановское хлебоприемное предприятие"</t>
  </si>
  <si>
    <t>ООО "Хлеб-2000"</t>
  </si>
  <si>
    <t>ООО Кондитерские технологии КПС"</t>
  </si>
  <si>
    <t>2466123555</t>
  </si>
  <si>
    <t>ООО Техно-торговый центр "Славяне"</t>
  </si>
  <si>
    <t>ООО "Ярск"</t>
  </si>
  <si>
    <t>г .Красноярск (Железногорск)</t>
  </si>
  <si>
    <t>г. Красноярск Итог</t>
  </si>
  <si>
    <t>Общий итог</t>
  </si>
  <si>
    <t>ООО "К(Ф)Х "Янн"</t>
  </si>
  <si>
    <t>ИП глава К(Ф)Х Кабиров Рамиль Якупович</t>
  </si>
  <si>
    <t>ИП глава К(Ф)Х Анисимов Сергей Анатольевич</t>
  </si>
  <si>
    <t>ООО "Первая заготовительная компания"</t>
  </si>
  <si>
    <t xml:space="preserve">организации АПК </t>
  </si>
  <si>
    <t>ИП глава К(Ф)Х Новоселов Сергей Александрович</t>
  </si>
  <si>
    <t>ИП глава К(Ф)Х Трубеко Максим Николаевич</t>
  </si>
  <si>
    <t>ООО "ВитаАгро"</t>
  </si>
  <si>
    <t>ООО "Малтат"</t>
  </si>
  <si>
    <t>2403007482</t>
  </si>
  <si>
    <t>ИП глава К(Ф)Х Авсиевич Михаил Михайлович</t>
  </si>
  <si>
    <t>ИП глава К(Ф)Х Виншу Сергей Федорович</t>
  </si>
  <si>
    <t>ЗАО "Тагарское"</t>
  </si>
  <si>
    <t>ИП глава К(Ф)Х Амбарян Юрий Шаликоевич</t>
  </si>
  <si>
    <t>ИП глава К(Ф)Х Толстиков Игорь Владимирович</t>
  </si>
  <si>
    <t>ООО "Ахурян"</t>
  </si>
  <si>
    <t>ИП глава К(Ф)Х Акулинчев Петр Леонидович</t>
  </si>
  <si>
    <t>ИП глава К(Ф)Х Кайзер Ксения Владимировна</t>
  </si>
  <si>
    <t>ИП глава К(Ф)Х Кирьянова Наталья Сергеевна</t>
  </si>
  <si>
    <t>ООО "Солянское"</t>
  </si>
  <si>
    <t>ИП глава К(Ф)Х Нефедьев Юрий Алексеевич</t>
  </si>
  <si>
    <t>ИП глава К(Ф)Х Тихонов Андрей Сергеевич</t>
  </si>
  <si>
    <t>АО Агропромышленный холдинг "АгроЯрск"</t>
  </si>
  <si>
    <r>
      <t xml:space="preserve">Субсидии на возмещение части затрат на уплату процентов по кредитам, полученным </t>
    </r>
    <r>
      <rPr>
        <b/>
        <sz val="15"/>
        <rFont val="Times New Roman"/>
        <family val="1"/>
        <charset val="204"/>
      </rPr>
      <t>на срок до 10 лет (2/3 ст)</t>
    </r>
  </si>
  <si>
    <t>ИП глава К(Ф)Х Гадальшин Ринат Рафаилович</t>
  </si>
  <si>
    <t>242903537030</t>
  </si>
  <si>
    <t>ИП глава К(Ф)Х Мамедов Ильхам Фархад оглы</t>
  </si>
  <si>
    <t>ИП глава К(Ф)Х Власов Сергей Федорович</t>
  </si>
  <si>
    <t>ИП глава К(Ф)Х Мирошниченко Нина Павловна</t>
  </si>
  <si>
    <t>ИП глава К(Ф)Х Ремизов Евгений Петрович</t>
  </si>
  <si>
    <t>ИП глава К(Ф)Х Тарнакин Григорий Иванович</t>
  </si>
  <si>
    <t>ИП глава К(Ф)Х Кравцов Сергей Геннадьевич</t>
  </si>
  <si>
    <t>ИП глава К(Ф)Х Лауберт Нина Александровна</t>
  </si>
  <si>
    <t>ИП глава К(Ф)Х Пушкарев Сергей Павлович</t>
  </si>
  <si>
    <t>ИП глава К(Ф)Х Дизендорф Константин Константинович</t>
  </si>
  <si>
    <t>ИП глава К(Ф)Х Эйснер Николай Яковлевич</t>
  </si>
  <si>
    <t>ИП глава К(Ф)Х Карапузова Татьяна Викторовна</t>
  </si>
  <si>
    <t>ИП глава К(Ф)Х Зубарева Наталья Владимировна</t>
  </si>
  <si>
    <t>ИП глава К(Ф)Х Михайлов Павел Сергеевич</t>
  </si>
  <si>
    <t>ИП глава К(Ф)Х Бурцев Андрей Александрович</t>
  </si>
  <si>
    <t>ИП глава К(Ф)Х Кляйн Максим Яковлевич</t>
  </si>
  <si>
    <t>ИП глава К(Ф)Х Стенчин Никита Сергеевич</t>
  </si>
  <si>
    <t>ИП глава К(Ф)Х Лойко Виктор Николаевич</t>
  </si>
  <si>
    <t>ИП глава К(Ф)Х Кожевников Сергей Геннадьевич</t>
  </si>
  <si>
    <t>ИП глава К(Ф)Х Абрамов Сергей Владимирович</t>
  </si>
  <si>
    <t>ИП глава К(Ф)Х Тропин Висилий Леонидович</t>
  </si>
  <si>
    <t>ИП глава К(Ф)Х Смирнов Петр Николаевич</t>
  </si>
  <si>
    <t>ИП глава К(Ф)Х Савицкая Людмила Онуфриевна</t>
  </si>
  <si>
    <t>ИП глава К(Ф)Х Хиляс Андрей Александрович</t>
  </si>
  <si>
    <t>ООО "Хлеб"</t>
  </si>
  <si>
    <t>2436003853</t>
  </si>
  <si>
    <t>245900223715</t>
  </si>
  <si>
    <t>ИП глава К(Ф)Х Тяжких Денис Витальевич</t>
  </si>
  <si>
    <t>ИП глава К(Ф)Х Нефедкин Андрей Яковлевич</t>
  </si>
  <si>
    <t>ООО ОПХ "Боготольское"</t>
  </si>
  <si>
    <t xml:space="preserve">Ачинский </t>
  </si>
  <si>
    <t>240100898195</t>
  </si>
  <si>
    <t>244300358300</t>
  </si>
  <si>
    <t>2403007644</t>
  </si>
  <si>
    <t>240403712410</t>
  </si>
  <si>
    <t>246202106185</t>
  </si>
  <si>
    <t>245801536643</t>
  </si>
  <si>
    <t>240401120465</t>
  </si>
  <si>
    <t>240501052956</t>
  </si>
  <si>
    <t>240500208840</t>
  </si>
  <si>
    <t>240500213664</t>
  </si>
  <si>
    <t>240501306086</t>
  </si>
  <si>
    <t>3445112681</t>
  </si>
  <si>
    <t>2462047462</t>
  </si>
  <si>
    <t>240801617300</t>
  </si>
  <si>
    <t>2464074609</t>
  </si>
  <si>
    <t>244310042182</t>
  </si>
  <si>
    <t>2450026186</t>
  </si>
  <si>
    <t>241000656042</t>
  </si>
  <si>
    <t>241000124337</t>
  </si>
  <si>
    <t>241000789490</t>
  </si>
  <si>
    <t>241000447634</t>
  </si>
  <si>
    <t>241001461550</t>
  </si>
  <si>
    <t>241000026114</t>
  </si>
  <si>
    <t>241000469300</t>
  </si>
  <si>
    <t>190305716600</t>
  </si>
  <si>
    <t>241400125286</t>
  </si>
  <si>
    <t>241400033860</t>
  </si>
  <si>
    <t>241400887284</t>
  </si>
  <si>
    <t>241400903715</t>
  </si>
  <si>
    <t>241500001446</t>
  </si>
  <si>
    <t>241502698906</t>
  </si>
  <si>
    <t>241601835399</t>
  </si>
  <si>
    <t>241602018449</t>
  </si>
  <si>
    <t>243904133466</t>
  </si>
  <si>
    <t>241601643506</t>
  </si>
  <si>
    <t>246001310769</t>
  </si>
  <si>
    <t>241700995587</t>
  </si>
  <si>
    <t>2450032951</t>
  </si>
  <si>
    <t>241901705834</t>
  </si>
  <si>
    <t>245506191303</t>
  </si>
  <si>
    <t>2422004110</t>
  </si>
  <si>
    <t xml:space="preserve">242201669572 </t>
  </si>
  <si>
    <t>242200912680</t>
  </si>
  <si>
    <t>242200090944</t>
  </si>
  <si>
    <t>242201281331</t>
  </si>
  <si>
    <t>171702266071</t>
  </si>
  <si>
    <t>190701515745</t>
  </si>
  <si>
    <t>242305178515</t>
  </si>
  <si>
    <t>242302590865</t>
  </si>
  <si>
    <t>2423014520</t>
  </si>
  <si>
    <t>246203828578</t>
  </si>
  <si>
    <t>242400372760</t>
  </si>
  <si>
    <t>242400235555</t>
  </si>
  <si>
    <t>2455015205</t>
  </si>
  <si>
    <t>245507654699</t>
  </si>
  <si>
    <t>241900265010</t>
  </si>
  <si>
    <t>245510140245</t>
  </si>
  <si>
    <t>190104607223</t>
  </si>
  <si>
    <t>245506573045</t>
  </si>
  <si>
    <t>245500106693</t>
  </si>
  <si>
    <t>2455036290</t>
  </si>
  <si>
    <t>2455036580</t>
  </si>
  <si>
    <t>2455028204</t>
  </si>
  <si>
    <t>2456015215</t>
  </si>
  <si>
    <t>245605067064</t>
  </si>
  <si>
    <t>242802994792</t>
  </si>
  <si>
    <t>2465306676</t>
  </si>
  <si>
    <t>246100462787</t>
  </si>
  <si>
    <t>242903699754</t>
  </si>
  <si>
    <t>421710780914</t>
  </si>
  <si>
    <t>242900979930</t>
  </si>
  <si>
    <t>242900190895</t>
  </si>
  <si>
    <t>246302277949</t>
  </si>
  <si>
    <t>243000033877</t>
  </si>
  <si>
    <t>243100786240</t>
  </si>
  <si>
    <t>2448006168</t>
  </si>
  <si>
    <t>2448006383</t>
  </si>
  <si>
    <t>244804065905</t>
  </si>
  <si>
    <t>243301379981</t>
  </si>
  <si>
    <t>2435006523</t>
  </si>
  <si>
    <t>2408005672</t>
  </si>
  <si>
    <t>246502680200</t>
  </si>
  <si>
    <t xml:space="preserve">243502612885 </t>
  </si>
  <si>
    <t>243500154904</t>
  </si>
  <si>
    <t>243600088236</t>
  </si>
  <si>
    <t>243601530802</t>
  </si>
  <si>
    <t>243600500925</t>
  </si>
  <si>
    <t>243600423100</t>
  </si>
  <si>
    <t xml:space="preserve">242601453049 </t>
  </si>
  <si>
    <t>243800354164</t>
  </si>
  <si>
    <t>243903243360</t>
  </si>
  <si>
    <t>243900007975</t>
  </si>
  <si>
    <t>244000567609</t>
  </si>
  <si>
    <t>244000879693</t>
  </si>
  <si>
    <t>244002504604</t>
  </si>
  <si>
    <t>244001343908</t>
  </si>
  <si>
    <t>244003020130</t>
  </si>
  <si>
    <t>244002343001</t>
  </si>
  <si>
    <t>244000013512</t>
  </si>
  <si>
    <t>241401076507</t>
  </si>
  <si>
    <t>2440005726</t>
  </si>
  <si>
    <t>244200069689</t>
  </si>
  <si>
    <t>191002810203</t>
  </si>
  <si>
    <t>2464102550</t>
  </si>
  <si>
    <t>2466240548</t>
  </si>
  <si>
    <t>2466101209</t>
  </si>
  <si>
    <t>2462043919</t>
  </si>
  <si>
    <r>
      <t>Березовский</t>
    </r>
    <r>
      <rPr>
        <i/>
        <sz val="16"/>
        <rFont val="Times New Roman"/>
        <family val="1"/>
        <charset val="204"/>
      </rPr>
      <t xml:space="preserve"> (Сухобузимский)</t>
    </r>
  </si>
  <si>
    <r>
      <t xml:space="preserve">Березовский </t>
    </r>
    <r>
      <rPr>
        <i/>
        <sz val="16"/>
        <rFont val="Times New Roman"/>
        <family val="1"/>
        <charset val="204"/>
      </rPr>
      <t>(Сосновоборск)</t>
    </r>
  </si>
  <si>
    <r>
      <t>Боготольский</t>
    </r>
    <r>
      <rPr>
        <i/>
        <sz val="16"/>
        <rFont val="Times New Roman"/>
        <family val="1"/>
        <charset val="204"/>
      </rPr>
      <t xml:space="preserve"> (Красноярск)</t>
    </r>
  </si>
  <si>
    <r>
      <t>Емельяновский</t>
    </r>
    <r>
      <rPr>
        <i/>
        <sz val="16"/>
        <rFont val="Times New Roman"/>
        <family val="1"/>
        <charset val="204"/>
      </rPr>
      <t xml:space="preserve"> (Красноярск)</t>
    </r>
  </si>
  <si>
    <r>
      <t xml:space="preserve">Ирбейский </t>
    </r>
    <r>
      <rPr>
        <i/>
        <sz val="16"/>
        <rFont val="Times New Roman"/>
        <family val="1"/>
        <charset val="204"/>
      </rPr>
      <t>(Красноярск)</t>
    </r>
  </si>
  <si>
    <r>
      <t>Новоселовский</t>
    </r>
    <r>
      <rPr>
        <i/>
        <sz val="16"/>
        <rFont val="Times New Roman"/>
        <family val="1"/>
        <charset val="204"/>
      </rPr>
      <t xml:space="preserve"> (Красноярск)</t>
    </r>
  </si>
  <si>
    <t>ИП глава К(Ф)Х Старцев Владимир Олегович</t>
  </si>
  <si>
    <t>ИП глава К(Ф)Х Федоткин Николай Николаевич</t>
  </si>
  <si>
    <t>ИП глава К(Ф)Х Якушевский Евгений Станиславович</t>
  </si>
  <si>
    <t>ИП глава К(Ф)Х Кривошеев Владимир Анатольевич</t>
  </si>
  <si>
    <t>ИП глава К(Ф)Х Селявко Владимир Александрович</t>
  </si>
  <si>
    <t>ИП глава К(Ф)Х Споткай Алена Владимировна</t>
  </si>
  <si>
    <t>ИП глава К(Ф)Х Морозов Иван Анатольевич</t>
  </si>
  <si>
    <t>ИП глава К(Ф)Х Худеев Андрей Георгиевич</t>
  </si>
  <si>
    <t>ИП глава К(Ф)Х Линдер Эрнст Юганович</t>
  </si>
  <si>
    <t>ИП глава К(Ф)Х Тихомирова Татьяна Александровна</t>
  </si>
  <si>
    <t>ИП глава К(Ф)Х Перевалова Татьяна Владимировна</t>
  </si>
  <si>
    <t>ИП глава К(Ф)Х Давыденко Виталий Сергеевич</t>
  </si>
  <si>
    <t>ИП глава К(Ф)Х Сиротенко Вячеслав Васильевич</t>
  </si>
  <si>
    <t>ИП глава К(Ф)Х Брух Виктор Андреевич</t>
  </si>
  <si>
    <t>ИП глава К(Ф)Х Владимиров Виталий Александрович</t>
  </si>
  <si>
    <t>ИП глава К(Ф)Х Иордан Иван Викторович</t>
  </si>
  <si>
    <t>ИП глава К(Ф)Х Иордан Елена Викторовна</t>
  </si>
  <si>
    <t>ИП глава К(Ф)Х Иванов Александр Николаевич</t>
  </si>
  <si>
    <t>ИП глава К(Ф)Х Гудушаури Зураб Михайлович</t>
  </si>
  <si>
    <t>ИП глава К(Ф)Х Иванов Дмитрий Васильевич</t>
  </si>
  <si>
    <t>ИП глава К(Ф)Х Косицкий Валерий Анатольевич</t>
  </si>
  <si>
    <t>ИП глава К(Ф)Х Холбоева Валентина Ермалаевна</t>
  </si>
  <si>
    <t>ИП глава К(Ф)Х Солдатова Ольга Владимировна</t>
  </si>
  <si>
    <t>ИП глава К(Ф)Х Солдатов Владимир Евгеньевич</t>
  </si>
  <si>
    <t>ИП глава К(Ф)Х Апранович Наталья Владимировна</t>
  </si>
  <si>
    <t>ИП глава К(Ф)Х Афанасьева Ксения Львовна</t>
  </si>
  <si>
    <t>ИП глава К(Ф)Х Зарубин Юрий Константинович</t>
  </si>
  <si>
    <t>Субсидии на возмещение части затрат, направленных на повышение продуктивности в молочном скотоводстве</t>
  </si>
  <si>
    <t>ИП глава К(Ф)Х Клявзер Федор Викторович</t>
  </si>
  <si>
    <t>ИП глава К(Ф)Х Мартыненко Галина Арсентьевна</t>
  </si>
  <si>
    <t>Субсидии на компенсацию затрат на производство и реализацию молока</t>
  </si>
  <si>
    <t>ИП глава К(Ф)Х Бабешко Инна Сергеевна</t>
  </si>
  <si>
    <t>ИП глава К(Ф)Х Слабухо Тамара Александровна</t>
  </si>
  <si>
    <t>ИП глава К(Ф)Х Покатилов Иван Викторович</t>
  </si>
  <si>
    <t>ИП глава К(Ф)Х Шпаннагель Александр Николаевич</t>
  </si>
  <si>
    <t>ИП глава К(Ф)Х Юдин Алексей Николаевич</t>
  </si>
  <si>
    <t>ИП глава К(Ф)Х Гайдук Вячеслав Геннадьевич</t>
  </si>
  <si>
    <t>ИП глава К(Ф)Х Чернов Вадим Сергеевич</t>
  </si>
  <si>
    <t>ИП глава К(Ф)Х Франц Сергей Викторович</t>
  </si>
  <si>
    <t>242800380437</t>
  </si>
  <si>
    <t>ИП глава К(Ф)Х Машукова Ирина Ивановна</t>
  </si>
  <si>
    <t>243601237201</t>
  </si>
  <si>
    <r>
      <t xml:space="preserve">Субсидии на компенсацию части стоимости элитных и (или) </t>
    </r>
    <r>
      <rPr>
        <b/>
        <sz val="15"/>
        <rFont val="Times New Roman"/>
        <family val="1"/>
        <charset val="204"/>
      </rPr>
      <t>репродукционных,</t>
    </r>
    <r>
      <rPr>
        <sz val="15"/>
        <rFont val="Times New Roman"/>
        <family val="1"/>
        <charset val="204"/>
      </rPr>
      <t xml:space="preserve"> и (или) гибридных </t>
    </r>
    <r>
      <rPr>
        <b/>
        <sz val="15"/>
        <rFont val="Times New Roman"/>
        <family val="1"/>
        <charset val="204"/>
      </rPr>
      <t>семян</t>
    </r>
    <r>
      <rPr>
        <sz val="15"/>
        <rFont val="Times New Roman"/>
        <family val="1"/>
        <charset val="204"/>
      </rPr>
      <t xml:space="preserve"> сельскохозяйственных растений</t>
    </r>
  </si>
  <si>
    <t>Колхоз "Прогресс" СПК</t>
  </si>
  <si>
    <t>АО "Искра"</t>
  </si>
  <si>
    <t>ИП глава К(Ф)Х Гисвайн Андрей Александрович</t>
  </si>
  <si>
    <r>
      <t xml:space="preserve">Субсидии на возмещение части затрат на уплату процентов по </t>
    </r>
    <r>
      <rPr>
        <b/>
        <sz val="15"/>
        <rFont val="Times New Roman"/>
        <family val="1"/>
        <charset val="204"/>
      </rPr>
      <t>кредитам</t>
    </r>
    <r>
      <rPr>
        <sz val="15"/>
        <rFont val="Times New Roman"/>
        <family val="1"/>
        <charset val="204"/>
      </rPr>
      <t xml:space="preserve">, полученным </t>
    </r>
    <r>
      <rPr>
        <b/>
        <sz val="15"/>
        <rFont val="Times New Roman"/>
        <family val="1"/>
        <charset val="204"/>
      </rPr>
      <t>в российский кредитных организациях на срок до 2 лет</t>
    </r>
  </si>
  <si>
    <t>ООО "Агро-Красноярск"</t>
  </si>
  <si>
    <r>
      <t xml:space="preserve">Субсидии на компенсацию части затрат, связанных с оплатой первоначального (авансового) лизингового взноса, </t>
    </r>
    <r>
      <rPr>
        <b/>
        <sz val="15"/>
        <rFont val="Times New Roman"/>
        <family val="1"/>
        <charset val="204"/>
      </rPr>
      <t>произведенного с 1 января 2018г.</t>
    </r>
  </si>
  <si>
    <r>
      <t xml:space="preserve">Субсидии на компенсацию части затрат, связанных с проведением </t>
    </r>
    <r>
      <rPr>
        <b/>
        <sz val="15"/>
        <rFont val="Times New Roman"/>
        <family val="1"/>
        <charset val="204"/>
      </rPr>
      <t xml:space="preserve">капитального ремонта тракторов </t>
    </r>
    <r>
      <rPr>
        <sz val="15"/>
        <rFont val="Times New Roman"/>
        <family val="1"/>
        <charset val="204"/>
      </rPr>
      <t>и (или) их агрегатов</t>
    </r>
  </si>
  <si>
    <t>ОАО "Племзавод Красный Маяк"</t>
  </si>
  <si>
    <t>ИП глава К(Ф)Х Королева Оксана Владимировна</t>
  </si>
  <si>
    <t>ООО "Мельник"</t>
  </si>
  <si>
    <t>ИП глава К(Ф)Х Береговой Александр Анатольевич</t>
  </si>
  <si>
    <t>Большеулуйский (г. Красноярск)</t>
  </si>
  <si>
    <t>ИП глава К(Ф)Х Кулашков Сергей Владимирович</t>
  </si>
  <si>
    <t>ИП глава К(Ф)Х Бугорков Дмитрий Анатольевич</t>
  </si>
  <si>
    <t>Большемуртинский (г. Красноярск)</t>
  </si>
  <si>
    <t xml:space="preserve">246313053002 </t>
  </si>
  <si>
    <t>ООО "Рыбное хозяйство ЕлИСей"</t>
  </si>
  <si>
    <t>ООО "Назаровское рыбное хозяйство"</t>
  </si>
  <si>
    <t>ИП глава К(Ф)Х Вензель Александр Андреевич</t>
  </si>
  <si>
    <t>ИП глава К(Ф)Х Вольф Алексей Сергеевич</t>
  </si>
  <si>
    <t>ИП глава К(Ф)Х Маслак Виктор Иванович</t>
  </si>
  <si>
    <t>ИП глава К(Ф)Х Ткаченко Светлана Юрьевна</t>
  </si>
  <si>
    <t>ИП глава К(Ф)Х Краус Виктор Александрович</t>
  </si>
  <si>
    <t>ИП глава К(Ф)Х Рушанян Геворг Манвелович</t>
  </si>
  <si>
    <r>
      <t xml:space="preserve">Субсидии на компенсацию части затрат на </t>
    </r>
    <r>
      <rPr>
        <b/>
        <sz val="15"/>
        <rFont val="Times New Roman"/>
        <family val="1"/>
        <charset val="204"/>
      </rPr>
      <t xml:space="preserve">содержание </t>
    </r>
    <r>
      <rPr>
        <sz val="15"/>
        <rFont val="Times New Roman"/>
        <family val="1"/>
        <charset val="204"/>
      </rPr>
      <t>племенного маточного поголовья с/х животных, племенных быков производителей</t>
    </r>
  </si>
  <si>
    <r>
      <t xml:space="preserve">Субсидии на компенсацию части затрат на </t>
    </r>
    <r>
      <rPr>
        <b/>
        <sz val="15"/>
        <rFont val="Times New Roman"/>
        <family val="1"/>
        <charset val="204"/>
      </rPr>
      <t>содержание племенных рогачей маралов</t>
    </r>
  </si>
  <si>
    <t>СПК "Спектр"</t>
  </si>
  <si>
    <t>ИП глава К(Ф)Х Кузнецов Сергей Васильевич</t>
  </si>
  <si>
    <t>ИП глава К(Ф)Х Алексеев Владимир Александрович</t>
  </si>
  <si>
    <t>ООО "Рыбпром"</t>
  </si>
  <si>
    <t>ИП глава К(Ф)Х Полынцев Николай Владимирович</t>
  </si>
  <si>
    <t xml:space="preserve">245400002130 </t>
  </si>
  <si>
    <t>Сухобузимский (г. Лесосибирск)</t>
  </si>
  <si>
    <t>ИП глава К(Ф)Х Стифутина Лидия Михайловна</t>
  </si>
  <si>
    <t>ООО Агрохолдинг "Емельяновский"</t>
  </si>
  <si>
    <r>
      <t xml:space="preserve">Оказание </t>
    </r>
    <r>
      <rPr>
        <b/>
        <sz val="15"/>
        <rFont val="Times New Roman"/>
        <family val="1"/>
        <charset val="204"/>
      </rPr>
      <t>несвязанной поддержки</t>
    </r>
    <r>
      <rPr>
        <sz val="15"/>
        <rFont val="Times New Roman"/>
        <family val="1"/>
        <charset val="204"/>
      </rPr>
      <t xml:space="preserve"> с/х товаропроизводителям в области растениеводства </t>
    </r>
  </si>
  <si>
    <t>ИП глава К(Ф)Х Стась Александр Геннадьевич</t>
  </si>
  <si>
    <t>Сухобузимский (г. Красноярск)</t>
  </si>
  <si>
    <t>ИП глава К(Ф)Х Гасанов Интигам Адиль Оглы</t>
  </si>
  <si>
    <t>ИП глава К(Ф)Х Арбузов Николай Анатольевич</t>
  </si>
  <si>
    <t>ИП Бугаев Андрей Владимирович</t>
  </si>
  <si>
    <t>Балахтинский (г. Красноярск)</t>
  </si>
  <si>
    <t>Канский (г. Красноярск)</t>
  </si>
  <si>
    <t>Субсидия на компенсацию части затрат на содержание коров и нетелей КРС</t>
  </si>
  <si>
    <t>ИП глава К(Ф)Х Бобков Иван Иванович</t>
  </si>
  <si>
    <t>ИП глава К(Ф)Х Арутюнян Самвел Размикович</t>
  </si>
  <si>
    <t>ИП глава К(Ф)Х Евлампиев Иван Иванович</t>
  </si>
  <si>
    <t>ИП глава К(Ф)Х Костюкевич Дмитрий Васильевич</t>
  </si>
  <si>
    <t>ООО "Сыроварня"</t>
  </si>
  <si>
    <t xml:space="preserve">Субсидии на удешевление стоимости семени и жидкого азота,реализуемых и используемых в крае 
для искусственного осеменения сельскохозяйственных животных
</t>
  </si>
  <si>
    <t>ИП глава К(Ф)Х Крекова Татьяна Васильевна</t>
  </si>
  <si>
    <t>ИП глава К(Ф)Х Погосян Мисак Альбертович</t>
  </si>
  <si>
    <r>
      <t xml:space="preserve">Субсидии на компенсацию части стоимости </t>
    </r>
    <r>
      <rPr>
        <b/>
        <sz val="15"/>
        <rFont val="Times New Roman"/>
        <family val="1"/>
        <charset val="204"/>
      </rPr>
      <t xml:space="preserve">элитных семян </t>
    </r>
    <r>
      <rPr>
        <sz val="15"/>
        <rFont val="Times New Roman"/>
        <family val="1"/>
        <charset val="204"/>
      </rPr>
      <t>сельскохозяйственных растений</t>
    </r>
  </si>
  <si>
    <t>ООО Совхоз "Денисовский"</t>
  </si>
  <si>
    <t>АО "Канская сортоиспытательная станция"</t>
  </si>
  <si>
    <r>
      <t xml:space="preserve">Субсидии на компенсацию части затрат, связанных с </t>
    </r>
    <r>
      <rPr>
        <b/>
        <sz val="15"/>
        <rFont val="Times New Roman"/>
        <family val="1"/>
        <charset val="204"/>
      </rPr>
      <t>дополнительным профессиональным образованием</t>
    </r>
    <r>
      <rPr>
        <sz val="15"/>
        <rFont val="Times New Roman"/>
        <family val="1"/>
        <charset val="204"/>
      </rPr>
      <t xml:space="preserve"> по программам повышения квалификации работников в организациях, осуществляющих образовательную деятельность по дополнительным профессиональным программам, расположенных на территории Российской Федерации</t>
    </r>
  </si>
  <si>
    <t>ИП Печенкин Александр Васильевич</t>
  </si>
  <si>
    <t>Субсидии на возмещение части затрат на уплату процентов по кредитам (займам), полученным на развитие малым форм хозяйствования</t>
  </si>
  <si>
    <t xml:space="preserve">Гранты начинающим фермерам на создание и развитие крестьянского (фермерского) хозяйства </t>
  </si>
  <si>
    <t>краевой бюджет</t>
  </si>
  <si>
    <t>Субсидии на компенсацию части затрат на производство и реализацию яйца</t>
  </si>
  <si>
    <r>
      <t xml:space="preserve">Субсидия сельскохозяйственным товаропроизводителям, вновь созданным сельскохозяйственным товаропроизводителям на компенсацию части затрат, связанных с выплатой </t>
    </r>
    <r>
      <rPr>
        <b/>
        <sz val="15"/>
        <rFont val="Times New Roman"/>
        <family val="1"/>
        <charset val="204"/>
      </rPr>
      <t>заработной платы молодому специалисту</t>
    </r>
  </si>
  <si>
    <t>ИП глава К(Ф)Х Миллиев Сохиб Шодиевич</t>
  </si>
  <si>
    <t>ИП глава К(Ф)Х Костюнин Александр Борисович</t>
  </si>
  <si>
    <t>Субсидии на компенсацию части затрат, связанных с производством и реализацией сухого молока, и (или) сыра полутвердого, и (или) сыра твердого</t>
  </si>
  <si>
    <t>Субсидии на компенсацию части затрат на производство и реалтзацию продукции птицеводства</t>
  </si>
  <si>
    <t>241401323107</t>
  </si>
  <si>
    <t>245501028247</t>
  </si>
  <si>
    <t>Субсидия на компенсацию части затрат, связанных с приобретением новых самоходных зерноуборочных и (или) самоходных кормоуборочных комбайнов и (или) новых зерновых сушилок и (или) новых посевных комплексов</t>
  </si>
  <si>
    <t>ИП глава К(Ф)Х Сургутский Михаил Юрьевич</t>
  </si>
  <si>
    <t>ИП глава К(Ф)Х Алиев Аслан Гутаевич</t>
  </si>
  <si>
    <t>ООО "Лира"</t>
  </si>
  <si>
    <t>ИП глава К(Ф)Х Богушевский Сергей Николаевич</t>
  </si>
  <si>
    <t>ИП глава К(Ф)Х Кондин Олег Юрьевич</t>
  </si>
  <si>
    <t xml:space="preserve">г .Красноярск </t>
  </si>
  <si>
    <t>ИП глава К(Ф)Х Погребной Андрей Сергеевич</t>
  </si>
  <si>
    <t>ИП глава К(Ф)Х Сотниченко Элиана Николаевна</t>
  </si>
  <si>
    <t>г. Красноярск</t>
  </si>
  <si>
    <t>ИП Осипов Никита Никитович</t>
  </si>
  <si>
    <t>СППК "Мясной деликатес"</t>
  </si>
  <si>
    <t>ИП глава К(Ф)Х Сулейманов Ренад Намазович</t>
  </si>
  <si>
    <t>ИП глава К(Ф)Х Прескенене Юлия Владимировна</t>
  </si>
  <si>
    <t>ИП глава К(Ф)Х Астафьев Николай Александрович</t>
  </si>
  <si>
    <t>ИП глава К(Ф)Х Кудрявец Геннадий Николаевич</t>
  </si>
  <si>
    <t>АО "Каратузское дорожное ремонтно-строительное управление"</t>
  </si>
  <si>
    <t>ИП глава К(Ф)Х Иванов Валерий Александрович</t>
  </si>
  <si>
    <t>ИП глава К(Ф)Х Илишкин Роман Валерьевич</t>
  </si>
  <si>
    <t>ИП глава К(Ф)Х Иордан Никита Алексеевич</t>
  </si>
  <si>
    <t>ИП глава К(Ф)Х Салтыков Владимир Юрьевич</t>
  </si>
  <si>
    <t>ИП глава К(Ф)Х Бобоев Эраджон Мамадкулович</t>
  </si>
  <si>
    <t>ИП глава К(Ф)Х Прус Юрий Сергеевич</t>
  </si>
  <si>
    <t>ИП глава К(Ф)Х Якименко Андрей Федорович</t>
  </si>
  <si>
    <t>ИП глава К(Ф)Х Гровер Сергей Михайлович</t>
  </si>
  <si>
    <t>ИП глава К(Ф)Х Дробушевский Марк Иванович</t>
  </si>
  <si>
    <t>ИП глава К(Ф)Х Колосова Виктория Вадимовна</t>
  </si>
  <si>
    <t>ИП глава К(Ф)Х Подлевская Наталья Константиновна</t>
  </si>
  <si>
    <r>
      <t xml:space="preserve">Субсидии на компенсацию части затрат на </t>
    </r>
    <r>
      <rPr>
        <b/>
        <sz val="15"/>
        <rFont val="Times New Roman"/>
        <family val="1"/>
        <charset val="204"/>
      </rPr>
      <t xml:space="preserve">производство оригинальных и элитных семян </t>
    </r>
    <r>
      <rPr>
        <sz val="15"/>
        <rFont val="Times New Roman"/>
        <family val="1"/>
        <charset val="204"/>
      </rPr>
      <t xml:space="preserve">зерновых и (или) зернобобовых культур </t>
    </r>
  </si>
  <si>
    <t>ИП глава К(Ф)Х Лебедева Антонина Евгеньевна</t>
  </si>
  <si>
    <t>ИП глава К(Ф)Х Сырокваш Евгения Александровна</t>
  </si>
  <si>
    <t>ИП глава К(Ф)Х Летников Иван Михайлович</t>
  </si>
  <si>
    <t>ИП глава К(Ф)Х Лебедев Александр Михайлович</t>
  </si>
  <si>
    <t>244000042400</t>
  </si>
  <si>
    <t>ИП глава К(Ф)Х Евтюгин Илья Алексеевич</t>
  </si>
  <si>
    <t xml:space="preserve">ИП глава К(Ф)Х Трушков Сергей Александрович </t>
  </si>
  <si>
    <t>ИП глава К(Ф)Х Беккер Дарья Владимировна</t>
  </si>
  <si>
    <t>ИП глава К(Ф)Х Турганбаев Дуйсенбай Уразбаевич</t>
  </si>
  <si>
    <t>241400044140</t>
  </si>
  <si>
    <t>ИП глава К(Ф)Х Ухтиков Николай Викторович</t>
  </si>
  <si>
    <t>ИП глава К(Ф)Х Власов Александр Афонасьевич</t>
  </si>
  <si>
    <t>ООО "Зернопродукт"</t>
  </si>
  <si>
    <t>ИП глава К(Ф)Х Миллер Галина Ивановна</t>
  </si>
  <si>
    <t>ИП глава К(Ф)Х Лалаян Радик Ваникович</t>
  </si>
  <si>
    <t>ООО "Птицефабрика Преображенская"</t>
  </si>
  <si>
    <t>246313535052</t>
  </si>
  <si>
    <t>ИП глава К(Ф)Х Князян Карен Гнелович</t>
  </si>
  <si>
    <t>ООО СП "Премьер"</t>
  </si>
  <si>
    <t>АО "Шушенская птицефабрика"</t>
  </si>
  <si>
    <t xml:space="preserve">Канский (Иланский) </t>
  </si>
  <si>
    <t>ИП глава К(Ф)Х Киселёв Алексей Владимирович</t>
  </si>
  <si>
    <t>ИП Киселев Сергей Владимирович</t>
  </si>
  <si>
    <t>Субсидии государственным и муниципальным предприятиям на возмещение части затрат на проведение комплекса агротехнологических работ, повышение уровня экологической безопасности сельскохозяйственного производства, а также повышение плодородия и качества почв в расчете на 1 гектар посевной площади, занятой зерновыми, зернобобовыми и кормовыми сельскохозяйственными культурами, а также посевных площадей, обеспечивающих увеличение производства семенного картофеля, семян овощных культур открытого грунта, овощей открытого грунта</t>
  </si>
  <si>
    <t>Субсидии на компенсацию части затрат, связанных с приобретением КРС для замены больных лейкозом и (или) инфицированных вирусом лейкоза</t>
  </si>
  <si>
    <t>Субсидия на компенсацию части затрат на приобретение кормов для рыбы</t>
  </si>
  <si>
    <t>Субсидии на возмещение части затрат на уплату процентов по кредитным договорам (договорам займа), заключенным с 1 января 2017 года на срок до 2 лет</t>
  </si>
  <si>
    <t xml:space="preserve">Гранты с/х потребительским кооперативам на развитие материально-технической базы </t>
  </si>
  <si>
    <t>Субсидии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</si>
  <si>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Субсидии на компенсацию части затрат, связанных с закупом животноводческой продукции (молока, мяса свиней, мяса КРС) у граждан, ведущих ЛПХ</t>
  </si>
  <si>
    <t>ИП глава К(Ф)Х Ротэрмель Сергей Викторович</t>
  </si>
  <si>
    <t>Дзержинский (Канский)</t>
  </si>
  <si>
    <t xml:space="preserve">СПК "Денисовский" </t>
  </si>
  <si>
    <t>ИП глава К(Ф)Х Карелина Татьяна Валерьевна</t>
  </si>
  <si>
    <t>ИП Ткаченко Артем Иванович</t>
  </si>
  <si>
    <t xml:space="preserve">ООО "Эдем" </t>
  </si>
  <si>
    <t xml:space="preserve">КХ "Заря" </t>
  </si>
  <si>
    <t xml:space="preserve">ФХ "Русь" </t>
  </si>
  <si>
    <t xml:space="preserve">ООО "Фортуна АГРО" </t>
  </si>
  <si>
    <t>ИП глава К(Ф)Х Головин Денис Дмитриевич</t>
  </si>
  <si>
    <t>ИП глава К(Ф)Х Бугачёв Владимир Исакович</t>
  </si>
  <si>
    <t>ИП глава К(Ф)Х Ильюшенко Владимир Анатольевич</t>
  </si>
  <si>
    <t>244703642218</t>
  </si>
  <si>
    <t>246204387326</t>
  </si>
  <si>
    <t>ИП глава К(Ф)Х Кряжевский Александр Александрович</t>
  </si>
  <si>
    <t>ИП глава К(Ф)Х Бульбук Евгений Васильевич</t>
  </si>
  <si>
    <t>ИП глава К(Ф)Х Апышева Олеся Владимировна</t>
  </si>
  <si>
    <t>ИП Павлов Сергей Павлович</t>
  </si>
  <si>
    <t>245500300098</t>
  </si>
  <si>
    <t xml:space="preserve">СПК "Алексеевский" </t>
  </si>
  <si>
    <t xml:space="preserve">ИП глава К(Ф)Х Фроленко Владимир Федорович </t>
  </si>
  <si>
    <t>Субсидия на компенсацию части затрат, связанных с приобретением машин   и оборудования для пищевой, перерабатывающей и элеваторной промышленности, модульных объектов, медицинской техники, оборудования лабораторного для анализа молока</t>
  </si>
  <si>
    <t>Субсидии на компенсацию части затрат на производство и реализацию  мяса кур мясных пород</t>
  </si>
  <si>
    <t xml:space="preserve">К(Ф)Х "Кормилец"  </t>
  </si>
  <si>
    <t xml:space="preserve">К(Ф)Х "Таганай"  </t>
  </si>
  <si>
    <t xml:space="preserve">К(Ф)Х "Пахарь"   </t>
  </si>
  <si>
    <t xml:space="preserve">ООО "Полесье"  </t>
  </si>
  <si>
    <t xml:space="preserve">СПК "Возрождение"  </t>
  </si>
  <si>
    <t xml:space="preserve">ИП глава К(Ф)Х Генза Олег Саламонович    </t>
  </si>
  <si>
    <t xml:space="preserve">ИП глава К(Ф)Х Поляков Николай Николаевич    </t>
  </si>
  <si>
    <t>ИП глава К(Ф)Х Харкевич Евгений Александрович</t>
  </si>
  <si>
    <r>
      <t xml:space="preserve">Субсидии на возмещение части затрат на уплату процентов по инвестиционным кредитам (займам) в агропромышленном комплексе / </t>
    </r>
    <r>
      <rPr>
        <b/>
        <sz val="15"/>
        <rFont val="Times New Roman"/>
        <family val="1"/>
        <charset val="204"/>
      </rPr>
      <t>Субсидии на возмещение части затрат на уплату процентов по инвестиционным кредитам (займам), полученным на срок до 8 лет, до 10 лет и до 15 лет</t>
    </r>
  </si>
  <si>
    <t xml:space="preserve">Субсидии на возмещение части затрат на уплату процентов по кредитным договорам (договорам займа), заключеным с 1 января 2017 года на срок от 2 до 15 лет
</t>
  </si>
  <si>
    <t>Субсидии на возмещение части затрат на уплату процентов по кредитнвм договорам (договорам займа), полученным на строительство, реконструкцию и модернизацию животноводческих комплексов для содержания свиней на срок до 8 лет, а также инвестиционным кредитам (займам), полученным на строительство, реконструкцию и модернизацию животноводческих комплексов (ферм) для содержания крупного рогатого скота на срок до 15 лет</t>
  </si>
  <si>
    <t>ИП глава К(Ф)Х Бабешко Руслан Анатольевич</t>
  </si>
  <si>
    <t>ИП глава К(Ф)Х Головатый Сергей Сергеевич</t>
  </si>
  <si>
    <t>ИП глава К(Ф)Х Махов Вадим Валентинович</t>
  </si>
  <si>
    <t>ООО "ЯрХлеб"</t>
  </si>
  <si>
    <t>2462055664</t>
  </si>
  <si>
    <t xml:space="preserve">Краевой союз потребительских обществ "Крайпотребсоюз" </t>
  </si>
  <si>
    <t xml:space="preserve">Организация потребительской кооперации </t>
  </si>
  <si>
    <t xml:space="preserve">ИП глава К(Ф)Х Влиско Михаил Викторович </t>
  </si>
  <si>
    <t xml:space="preserve">ИП глава К(Ф)Х Кадочников Виктор Анатольевич </t>
  </si>
  <si>
    <t xml:space="preserve">ИП глава К(Ф)Х  Новикова Ксения Александровна </t>
  </si>
  <si>
    <r>
      <t xml:space="preserve">Субсидии на компенсацию части затрат на </t>
    </r>
    <r>
      <rPr>
        <b/>
        <sz val="15"/>
        <color theme="1"/>
        <rFont val="Times New Roman"/>
        <family val="1"/>
        <charset val="204"/>
      </rPr>
      <t>приобретение племенного материала</t>
    </r>
    <r>
      <rPr>
        <sz val="15"/>
        <color theme="1"/>
        <rFont val="Times New Roman"/>
        <family val="1"/>
        <charset val="204"/>
      </rPr>
      <t xml:space="preserve"> разводимых пород, включенных в Государственный реестр селекционных достижений, допущенных к использованию</t>
    </r>
  </si>
  <si>
    <t>ИП глава К(Ф)Х Азаров Александр Николаевич</t>
  </si>
  <si>
    <t>ИП глава К(Ф)Х Гинтер Наталья Валерьевна</t>
  </si>
  <si>
    <t>246519793931</t>
  </si>
  <si>
    <r>
      <t xml:space="preserve">Субсидии на возмещение части затрат на уплату страховых премий по договорам с/х </t>
    </r>
    <r>
      <rPr>
        <b/>
        <sz val="15"/>
        <rFont val="Times New Roman"/>
        <family val="1"/>
        <charset val="204"/>
      </rPr>
      <t>страхования в области растениеводства</t>
    </r>
  </si>
  <si>
    <t>ИП глава К(Ф)Х Панин Евгений Васильевич</t>
  </si>
  <si>
    <t xml:space="preserve">ИП Осколков Виктор Борисович </t>
  </si>
  <si>
    <t>Прочее</t>
  </si>
  <si>
    <t>Рыбинский (г.Красноярск)</t>
  </si>
  <si>
    <t>ИП глава К(Ф)Х Эргешова Анастасия Батыровна</t>
  </si>
  <si>
    <t>Сухобузимский (г .Красноярск )</t>
  </si>
  <si>
    <t>выбыл</t>
  </si>
  <si>
    <t>ИП глава Гюлмамедов Руслан Аждар Оглы</t>
  </si>
  <si>
    <t>Шарыповский (г .Красноярск)</t>
  </si>
  <si>
    <t>ИП глава К(Ф)Х Боровлев Андрей Алексеевич</t>
  </si>
  <si>
    <t>КХ Молоткова Сергея Николаевича</t>
  </si>
  <si>
    <t>СПОСК "Дороховское-Алтатское"</t>
  </si>
  <si>
    <r>
      <t xml:space="preserve">Субсидии на возмещение
части фактически осуществленных затрат в рамках
</t>
    </r>
    <r>
      <rPr>
        <b/>
        <sz val="15"/>
        <rFont val="Times New Roman"/>
        <family val="1"/>
        <charset val="204"/>
      </rPr>
      <t>гидромелиоративных</t>
    </r>
    <r>
      <rPr>
        <sz val="15"/>
        <rFont val="Times New Roman"/>
        <family val="1"/>
        <charset val="204"/>
      </rPr>
      <t xml:space="preserve"> мероприятий по строительству
оросительных и осушительных систем общего и индивидуального</t>
    </r>
  </si>
  <si>
    <t>ИП глава К(Ф)Х Сеньшов Александр Николаевич</t>
  </si>
  <si>
    <t>ООО "Информационно-Консультационный центр "Енисей"</t>
  </si>
  <si>
    <t>Центр компетенций</t>
  </si>
  <si>
    <t>ООО "Джокер"</t>
  </si>
  <si>
    <t>ООО "Вербицкие"</t>
  </si>
  <si>
    <t>ООО "Промышленные системы"</t>
  </si>
  <si>
    <t>ООО "Хозяин"</t>
  </si>
  <si>
    <t>ООО "Элеватор"</t>
  </si>
  <si>
    <r>
      <t xml:space="preserve">Субсидии </t>
    </r>
    <r>
      <rPr>
        <b/>
        <sz val="15"/>
        <rFont val="Times New Roman"/>
        <family val="1"/>
        <charset val="204"/>
      </rPr>
      <t>центру компетенций</t>
    </r>
    <r>
      <rPr>
        <sz val="15"/>
        <rFont val="Times New Roman"/>
        <family val="1"/>
        <charset val="204"/>
      </rPr>
      <t xml:space="preserve"> в сфере сельскохозяйственной кооперации и поддержки фермеров на софинансирование затрат, связанных с осуществлением текущей деятельности</t>
    </r>
  </si>
  <si>
    <r>
      <t xml:space="preserve">Субсидии на возмещение части затрат на проведение </t>
    </r>
    <r>
      <rPr>
        <b/>
        <sz val="15"/>
        <rFont val="Times New Roman"/>
        <family val="1"/>
        <charset val="204"/>
      </rPr>
      <t>культуртехнических</t>
    </r>
    <r>
      <rPr>
        <sz val="15"/>
        <rFont val="Times New Roman"/>
        <family val="1"/>
        <charset val="204"/>
      </rPr>
      <t xml:space="preserve"> мероприятий </t>
    </r>
  </si>
  <si>
    <r>
      <t xml:space="preserve">Субсидии на компенсацию части затрат на </t>
    </r>
    <r>
      <rPr>
        <b/>
        <sz val="15"/>
        <rFont val="Times New Roman"/>
        <family val="1"/>
        <charset val="204"/>
      </rPr>
      <t>разработку проектной документации</t>
    </r>
    <r>
      <rPr>
        <sz val="15"/>
        <rFont val="Times New Roman"/>
        <family val="1"/>
        <charset val="204"/>
      </rPr>
      <t xml:space="preserve"> и строительство учебно-опытных животноводческих комплексов  молочного направления, животноводческих объектов для содержания быков-производителей или маралов</t>
    </r>
  </si>
  <si>
    <t>ИП глава К(Ф)Х Коротченко Андрей Витальевич</t>
  </si>
  <si>
    <t>ИП глава К(Ф)Х Щипакина Оксана Ивановна</t>
  </si>
  <si>
    <t>ИП глава К(Ф)Х Шутова Марина Владимировна</t>
  </si>
  <si>
    <t>ИП глава К(Ф)Х Зенкевич Роман Геннадьевич</t>
  </si>
  <si>
    <t>ИП глава К(Ф)Х Абдуллоев Изатулло Кудратович</t>
  </si>
  <si>
    <t>ИП глава К(Ф)Х Тюлюш Владимир Вячеславовоч</t>
  </si>
  <si>
    <t>ИП глава К(Ф)Х Черепанова Ирина Григорьевна</t>
  </si>
  <si>
    <t>242305026618</t>
  </si>
  <si>
    <t>ИП глава К(Ф)Х Денисенко Наталья Владимировна</t>
  </si>
  <si>
    <t>ИП глава К(Ф)Х Быков Георгий Вассонович</t>
  </si>
  <si>
    <t>ИП глава К(Ф)Х Никитин Дмитрий Николаевич</t>
  </si>
  <si>
    <t>191004302646</t>
  </si>
  <si>
    <t>Субсидия на компенсацию части затрат на проведение некорневой подкормки минеральными азотными удобрениями посевов озимой и яровой пшеницы</t>
  </si>
  <si>
    <t>Гранты "Агростартап" крестьянским-фермерским хрзяйствам</t>
  </si>
  <si>
    <t xml:space="preserve">ИП глава К(Ф)Х Ефимова Анна Алекссеевна   </t>
  </si>
  <si>
    <t>ИП глава К(Ф)Х Солдатов Николай Евгеньевич</t>
  </si>
  <si>
    <t>ИП глава К(Ф)Х Галаган  Николай Николаевич</t>
  </si>
  <si>
    <t>ИП глава К(Ф)Х Макаров Денис Вячеславович</t>
  </si>
  <si>
    <t>ИП глава К(Ф)Х Майер  Андрей Александрович</t>
  </si>
  <si>
    <t>ИП глава К(Ф)Х Сулейманов Тамаз Паша-оглы</t>
  </si>
  <si>
    <t>ИП глава К(Ф)Х Калиновский  Виктор Борисович</t>
  </si>
  <si>
    <t>ИП глава К(Ф)Х Алехина Наталья Александровна</t>
  </si>
  <si>
    <t>ИП глава К(Ф)Х Ян Алексей Тенович</t>
  </si>
  <si>
    <t>ИП глава К(Ф)Х Нефедьев Николай Юрьевич</t>
  </si>
  <si>
    <t>ИП глава К(Ф)Х Письменнова Нина Николаевна</t>
  </si>
  <si>
    <t>ИП глава К(Ф)Х Коробейников Константин Геннадьевич</t>
  </si>
  <si>
    <t>ИП глава К(Ф)Х Гущина Надежда Владимировна</t>
  </si>
  <si>
    <t>ИП глава К(Ф)Х Мисюрин Олег Владимирович</t>
  </si>
  <si>
    <t>ИП глава К(Ф)Х Колегов Виктор Сергеевич</t>
  </si>
  <si>
    <t>ИП глава К(Ф)Х Науман Николай Вальдымарович</t>
  </si>
  <si>
    <t>242900074218</t>
  </si>
  <si>
    <t>ИП глава К(Ф)Х Генза Алексей Олегович</t>
  </si>
  <si>
    <t>ИП глава К(Ф)Х Кривохижа Виктор Валерьевич</t>
  </si>
  <si>
    <t>ИП глава К(Ф)Х Тардыбаев Максим Николаевич</t>
  </si>
  <si>
    <t>ИП глава К(Ф)Х Романченко Андрей Сергеевич</t>
  </si>
  <si>
    <t>246312747801</t>
  </si>
  <si>
    <r>
      <t xml:space="preserve">Субсидии на возмещение части затрат на уплату страховых премий по договорам с/х </t>
    </r>
    <r>
      <rPr>
        <b/>
        <sz val="15"/>
        <rFont val="Times New Roman"/>
        <family val="1"/>
        <charset val="204"/>
      </rPr>
      <t>страхования в области животноводства</t>
    </r>
  </si>
  <si>
    <t>ИП глава К(Ф)Х Катаев Афанасий Елиферьевич</t>
  </si>
  <si>
    <t>241301921417</t>
  </si>
  <si>
    <t>СППК "Светлолобовский продукт"</t>
  </si>
  <si>
    <t>СПССК "Рассвет"</t>
  </si>
  <si>
    <t>СППК "Курага"</t>
  </si>
  <si>
    <t>СПСК "Зеленкова"</t>
  </si>
  <si>
    <t>СКПК "Овощевод"</t>
  </si>
  <si>
    <t>ИП глава К(Ф)Х Запольская Полина Константиновна</t>
  </si>
  <si>
    <t>ИП глава К(Ф)Х Воеводин Юрий Анатольевич</t>
  </si>
  <si>
    <t xml:space="preserve">ООО Агрофирма "Учумская" </t>
  </si>
  <si>
    <t>ИП глава К(Ф)Х Семенов Анатолий Андреевич</t>
  </si>
  <si>
    <t>ИП глава К(Ф)Х Глущенко Вячеслав Михайлович</t>
  </si>
  <si>
    <t>ОАО "Птицефабрика Бархатовская"</t>
  </si>
  <si>
    <t>2419005755</t>
  </si>
  <si>
    <t>242304686756</t>
  </si>
  <si>
    <t>242301208247</t>
  </si>
  <si>
    <t>2424006306</t>
  </si>
  <si>
    <t>243101001649</t>
  </si>
  <si>
    <t>244800560320</t>
  </si>
  <si>
    <t>243600769683</t>
  </si>
  <si>
    <t>244201677320</t>
  </si>
  <si>
    <t>Субсидии сельскохозяйственным потребительским кооперативам на возмещение части затрат, понесенных в текущем финансовом году</t>
  </si>
  <si>
    <t>СПКК "Удача"</t>
  </si>
  <si>
    <t>421713514702</t>
  </si>
  <si>
    <t>ИП глава К(Ф)Х Беликов Николай Николаевич</t>
  </si>
  <si>
    <t>Гранты на развитие несельскохозяйственных видов деятельности</t>
  </si>
  <si>
    <t>ИП глава К(Ф)Х Болсуновский Андрей Иванович</t>
  </si>
  <si>
    <t>Субсидии организациям агропромышленного комплекса на возмещение части затрат на строительство жилья в сельской местности, предоставляемого по договорам найма жилого помещения гражданам, проживающим и работающим на селе либо изъявившим желание переехать на постоянное место жительства в сельскую местность и работать там</t>
  </si>
  <si>
    <t>ИП глава К(Ф)Х Дреер Вероника Анатольевна</t>
  </si>
  <si>
    <t>190101387940</t>
  </si>
  <si>
    <t>ИП Нусс Виталий Николаевич</t>
  </si>
  <si>
    <t>Реестр получателей государственной поддержки за 2019 год, тыс. руб.</t>
  </si>
  <si>
    <r>
      <t xml:space="preserve">Размер полученной государственной поддержки за </t>
    </r>
    <r>
      <rPr>
        <b/>
        <sz val="16"/>
        <rFont val="Times New Roman"/>
        <family val="1"/>
        <charset val="204"/>
      </rPr>
      <t>2019 год - всего тыс</t>
    </r>
    <r>
      <rPr>
        <sz val="16"/>
        <rFont val="Times New Roman"/>
        <family val="1"/>
        <charset val="204"/>
      </rPr>
      <t>. руб</t>
    </r>
  </si>
  <si>
    <t>ВСЕГО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</si>
</sst>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_-;\-* #,##0.00\ _₽_-;_-* &quot;-&quot;??\ _₽_-;_-@_-"/>
    <numFmt numFmtId="164" formatCode="_-* #,##0_р_._-;\-* #,##0_р_._-;_-* &quot;-&quot;_р_._-;_-@_-"/>
    <numFmt numFmtId="165" formatCode="#,##0.00000"/>
    <numFmt numFmtId="166" formatCode="#,##0.000"/>
    <numFmt numFmtId="167" formatCode="#,##0.000000"/>
    <numFmt numFmtId="168" formatCode="0.00000"/>
    <numFmt numFmtId="169" formatCode="#,##0.0000"/>
    <numFmt numFmtId="170" formatCode="#,##0.00000000"/>
    <numFmt numFmtId="171" formatCode="#,##0.0000000"/>
    <numFmt numFmtId="172" formatCode="_-* #,##0&quot;р.&quot;_-;\-* #,##0&quot;р.&quot;_-;_-* &quot;-&quot;&quot;р.&quot;_-;_-@_-"/>
    <numFmt numFmtId="173" formatCode="_-* #,##0.00_р_._-;\-* #,##0.00_р_._-;_-* &quot;-&quot;??_р_._-;_-@_-"/>
    <numFmt numFmtId="174" formatCode="_-* #,##0.00_р_._-;\-* #,##0.00_р_._-;_-* \-??_р_._-;_-@_-"/>
    <numFmt numFmtId="176" formatCode="#,##0.0"/>
  </numFmts>
  <fonts count="27" x14ac:knownFonts="1">
    <font>
      <sz val="11"/>
      <color theme="1"/>
      <name val="Calibri"/>
      <family val="2"/>
      <charset val="204"/>
      <scheme val="minor"/>
    </font>
    <font>
      <sz val="11"/>
      <color theme="1"/>
      <name val="Calibri"/>
      <family val="2"/>
      <charset val="204"/>
      <scheme val="minor"/>
    </font>
    <font>
      <sz val="16"/>
      <name val="Times New Roman"/>
      <family val="1"/>
      <charset val="204"/>
    </font>
    <font>
      <b/>
      <sz val="16"/>
      <name val="Times New Roman"/>
      <family val="1"/>
      <charset val="204"/>
    </font>
    <font>
      <sz val="12"/>
      <name val="Times New Roman"/>
      <family val="1"/>
      <charset val="204"/>
    </font>
    <font>
      <b/>
      <sz val="12"/>
      <name val="Times New Roman"/>
      <family val="1"/>
      <charset val="204"/>
    </font>
    <font>
      <sz val="16"/>
      <color indexed="8"/>
      <name val="Times New Roman"/>
      <family val="1"/>
      <charset val="204"/>
    </font>
    <font>
      <b/>
      <sz val="18"/>
      <name val="Times New Roman"/>
      <family val="1"/>
      <charset val="204"/>
    </font>
    <font>
      <sz val="15"/>
      <name val="Times New Roman"/>
      <family val="1"/>
      <charset val="204"/>
    </font>
    <font>
      <b/>
      <sz val="15"/>
      <name val="Times New Roman"/>
      <family val="1"/>
      <charset val="204"/>
    </font>
    <font>
      <sz val="10"/>
      <name val="Arial Cyr"/>
      <charset val="204"/>
    </font>
    <font>
      <sz val="10"/>
      <name val="Times New Roman"/>
      <family val="1"/>
      <charset val="204"/>
    </font>
    <font>
      <sz val="10"/>
      <name val="Arial"/>
      <family val="2"/>
      <charset val="204"/>
    </font>
    <font>
      <sz val="16"/>
      <color theme="1"/>
      <name val="Times New Roman"/>
      <family val="1"/>
      <charset val="204"/>
    </font>
    <font>
      <sz val="16"/>
      <color indexed="64"/>
      <name val="Times New Roman"/>
      <family val="1"/>
      <charset val="204"/>
    </font>
    <font>
      <sz val="16"/>
      <color rgb="FFFF0000"/>
      <name val="Times New Roman"/>
      <family val="1"/>
      <charset val="204"/>
    </font>
    <font>
      <sz val="16"/>
      <color indexed="10"/>
      <name val="Times New Roman"/>
      <family val="1"/>
      <charset val="204"/>
    </font>
    <font>
      <sz val="16"/>
      <color rgb="FFC00000"/>
      <name val="Times New Roman"/>
      <family val="1"/>
      <charset val="204"/>
    </font>
    <font>
      <sz val="16"/>
      <color indexed="13"/>
      <name val="Times New Roman"/>
      <family val="1"/>
      <charset val="204"/>
    </font>
    <font>
      <sz val="12"/>
      <color indexed="10"/>
      <name val="Times New Roman"/>
      <family val="1"/>
      <charset val="204"/>
    </font>
    <font>
      <sz val="16"/>
      <color indexed="11"/>
      <name val="Times New Roman"/>
      <family val="1"/>
      <charset val="204"/>
    </font>
    <font>
      <i/>
      <sz val="16"/>
      <name val="Times New Roman"/>
      <family val="1"/>
      <charset val="204"/>
    </font>
    <font>
      <sz val="15"/>
      <color theme="1"/>
      <name val="Times New Roman"/>
      <family val="1"/>
      <charset val="204"/>
    </font>
    <font>
      <sz val="11"/>
      <color indexed="8"/>
      <name val="Calibri"/>
      <family val="2"/>
      <charset val="204"/>
    </font>
    <font>
      <sz val="10"/>
      <name val="Arial Cyr"/>
      <family val="2"/>
      <charset val="204"/>
    </font>
    <font>
      <sz val="9"/>
      <name val="Times New Roman"/>
      <family val="1"/>
      <charset val="204"/>
    </font>
    <font>
      <b/>
      <sz val="15"/>
      <color theme="1"/>
      <name val="Times New Roman"/>
      <family val="1"/>
      <charset val="204"/>
    </font>
  </fonts>
  <fills count="3">
    <fill>
      <patternFill patternType="none"/>
    </fill>
    <fill>
      <patternFill patternType="gray125"/>
    </fill>
    <fill>
      <patternFill patternType="solid">
        <fgColor rgb="FFCCCC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3">
    <xf numFmtId="0" fontId="0" fillId="0" borderId="0"/>
    <xf numFmtId="43" fontId="1" fillId="0" borderId="0" applyFont="0" applyFill="0" applyBorder="0" applyAlignment="0" applyProtection="0"/>
    <xf numFmtId="0" fontId="10" fillId="0" borderId="0"/>
    <xf numFmtId="0" fontId="12"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164" fontId="10" fillId="0" borderId="0" applyFont="0" applyFill="0" applyBorder="0" applyAlignment="0" applyProtection="0"/>
    <xf numFmtId="172" fontId="10" fillId="0" borderId="0" applyFont="0" applyFill="0" applyBorder="0" applyAlignment="0" applyProtection="0"/>
    <xf numFmtId="164"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43" fontId="23" fillId="0" borderId="0" applyFont="0" applyFill="0" applyBorder="0" applyAlignment="0" applyProtection="0"/>
    <xf numFmtId="174" fontId="24" fillId="0" borderId="0"/>
    <xf numFmtId="17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73" fontId="10" fillId="0" borderId="0" applyFont="0" applyFill="0" applyBorder="0" applyAlignment="0" applyProtection="0"/>
  </cellStyleXfs>
  <cellXfs count="207">
    <xf numFmtId="0" fontId="0" fillId="0" borderId="0" xfId="0"/>
    <xf numFmtId="0" fontId="2" fillId="0" borderId="0" xfId="0" applyFont="1" applyFill="1" applyAlignment="1"/>
    <xf numFmtId="49" fontId="2" fillId="0" borderId="0" xfId="0" applyNumberFormat="1" applyFont="1" applyFill="1" applyAlignment="1">
      <alignment horizontal="left"/>
    </xf>
    <xf numFmtId="4" fontId="2" fillId="0" borderId="0" xfId="0" applyNumberFormat="1" applyFont="1" applyFill="1"/>
    <xf numFmtId="0" fontId="2" fillId="0" borderId="0" xfId="0" applyFont="1" applyFill="1"/>
    <xf numFmtId="0" fontId="2" fillId="0" borderId="0" xfId="0"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2" applyFont="1" applyFill="1" applyBorder="1" applyAlignment="1">
      <alignment wrapText="1"/>
    </xf>
    <xf numFmtId="49" fontId="2" fillId="0" borderId="1" xfId="0" applyNumberFormat="1" applyFont="1" applyFill="1" applyBorder="1" applyAlignment="1">
      <alignment horizontal="center" wrapText="1"/>
    </xf>
    <xf numFmtId="49" fontId="2" fillId="0" borderId="1" xfId="0" applyNumberFormat="1"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left" wrapText="1"/>
    </xf>
    <xf numFmtId="49" fontId="2" fillId="0" borderId="1" xfId="3" applyNumberFormat="1" applyFont="1" applyFill="1" applyBorder="1" applyAlignment="1">
      <alignment horizontal="center" wrapText="1"/>
    </xf>
    <xf numFmtId="3" fontId="2" fillId="0" borderId="1" xfId="2" applyNumberFormat="1" applyFont="1" applyFill="1" applyBorder="1" applyAlignment="1">
      <alignment horizontal="left" wrapText="1"/>
    </xf>
    <xf numFmtId="3" fontId="2" fillId="0" borderId="1" xfId="2" applyNumberFormat="1" applyFont="1" applyFill="1" applyBorder="1" applyAlignment="1"/>
    <xf numFmtId="0" fontId="2" fillId="0" borderId="1" xfId="4" applyFont="1" applyFill="1" applyBorder="1" applyAlignment="1">
      <alignment horizontal="left" wrapText="1"/>
    </xf>
    <xf numFmtId="0" fontId="2" fillId="0" borderId="1" xfId="0" applyFont="1" applyFill="1" applyBorder="1" applyAlignment="1"/>
    <xf numFmtId="49" fontId="2" fillId="0" borderId="1" xfId="5" applyNumberFormat="1" applyFont="1" applyFill="1" applyBorder="1" applyAlignment="1">
      <alignment horizontal="center" wrapText="1"/>
    </xf>
    <xf numFmtId="3" fontId="2" fillId="0" borderId="1" xfId="2" applyNumberFormat="1" applyFont="1" applyFill="1" applyBorder="1" applyAlignment="1">
      <alignment wrapText="1"/>
    </xf>
    <xf numFmtId="165" fontId="2" fillId="0" borderId="0" xfId="0" applyNumberFormat="1" applyFont="1" applyFill="1"/>
    <xf numFmtId="49" fontId="2" fillId="0" borderId="1" xfId="3" applyNumberFormat="1" applyFont="1" applyFill="1" applyBorder="1" applyAlignment="1" applyProtection="1">
      <alignment horizontal="center" wrapText="1"/>
      <protection locked="0"/>
    </xf>
    <xf numFmtId="49" fontId="2" fillId="0" borderId="1" xfId="6" applyNumberFormat="1" applyFont="1" applyFill="1" applyBorder="1" applyAlignment="1">
      <alignment horizontal="center" wrapText="1"/>
    </xf>
    <xf numFmtId="49" fontId="2" fillId="0" borderId="1" xfId="0" applyNumberFormat="1" applyFont="1" applyFill="1" applyBorder="1" applyAlignment="1" applyProtection="1">
      <alignment horizontal="center" wrapText="1"/>
      <protection locked="0"/>
    </xf>
    <xf numFmtId="49" fontId="13" fillId="0" borderId="1" xfId="0" applyNumberFormat="1" applyFont="1" applyFill="1" applyBorder="1" applyAlignment="1">
      <alignment horizontal="center" wrapText="1"/>
    </xf>
    <xf numFmtId="49" fontId="2" fillId="0" borderId="1" xfId="7" applyNumberFormat="1" applyFont="1" applyFill="1" applyBorder="1" applyAlignment="1">
      <alignment horizontal="center" wrapText="1"/>
    </xf>
    <xf numFmtId="0" fontId="2" fillId="0" borderId="1" xfId="0" applyFont="1" applyFill="1" applyBorder="1"/>
    <xf numFmtId="49" fontId="2" fillId="0" borderId="1" xfId="8" applyNumberFormat="1" applyFont="1" applyFill="1" applyBorder="1" applyAlignment="1">
      <alignment horizontal="center" wrapText="1"/>
    </xf>
    <xf numFmtId="3" fontId="2" fillId="0" borderId="1" xfId="0" applyNumberFormat="1" applyFont="1" applyFill="1" applyBorder="1" applyAlignment="1">
      <alignment horizontal="left" wrapText="1"/>
    </xf>
    <xf numFmtId="168" fontId="2" fillId="0" borderId="1" xfId="0" applyNumberFormat="1" applyFont="1" applyFill="1" applyBorder="1" applyAlignment="1"/>
    <xf numFmtId="168" fontId="2" fillId="0" borderId="1" xfId="0" applyNumberFormat="1" applyFont="1" applyFill="1" applyBorder="1" applyAlignment="1">
      <alignment horizontal="left" wrapText="1"/>
    </xf>
    <xf numFmtId="168" fontId="2" fillId="0" borderId="1" xfId="0" applyNumberFormat="1" applyFont="1" applyFill="1" applyBorder="1" applyAlignment="1">
      <alignment horizontal="center" wrapText="1"/>
    </xf>
    <xf numFmtId="168" fontId="2" fillId="0" borderId="0" xfId="0" applyNumberFormat="1" applyFont="1" applyFill="1"/>
    <xf numFmtId="49" fontId="2" fillId="0" borderId="1" xfId="9" applyNumberFormat="1" applyFont="1" applyFill="1" applyBorder="1" applyAlignment="1">
      <alignment horizontal="center" wrapText="1"/>
    </xf>
    <xf numFmtId="0" fontId="3" fillId="0" borderId="0" xfId="0" applyFont="1" applyFill="1"/>
    <xf numFmtId="49" fontId="2" fillId="0" borderId="1" xfId="10" applyNumberFormat="1" applyFont="1" applyFill="1" applyBorder="1" applyAlignment="1">
      <alignment horizontal="center" wrapText="1"/>
    </xf>
    <xf numFmtId="0" fontId="16" fillId="0" borderId="0" xfId="0" applyFont="1" applyFill="1"/>
    <xf numFmtId="2" fontId="2" fillId="0" borderId="1" xfId="0" applyNumberFormat="1" applyFont="1" applyFill="1" applyBorder="1" applyAlignment="1">
      <alignment wrapText="1"/>
    </xf>
    <xf numFmtId="0" fontId="2" fillId="0" borderId="2" xfId="0" applyFont="1" applyFill="1" applyBorder="1"/>
    <xf numFmtId="0" fontId="2" fillId="0" borderId="0" xfId="0" applyFont="1" applyFill="1" applyBorder="1"/>
    <xf numFmtId="0" fontId="3" fillId="0" borderId="0" xfId="0" applyFont="1" applyFill="1" applyBorder="1"/>
    <xf numFmtId="168" fontId="2" fillId="0" borderId="0" xfId="0" applyNumberFormat="1" applyFont="1" applyFill="1" applyBorder="1"/>
    <xf numFmtId="0" fontId="16" fillId="0" borderId="0" xfId="0" applyFont="1" applyFill="1" applyBorder="1"/>
    <xf numFmtId="0" fontId="2" fillId="0" borderId="0" xfId="0" applyFont="1" applyFill="1" applyAlignment="1">
      <alignment horizontal="right"/>
    </xf>
    <xf numFmtId="0" fontId="2" fillId="0" borderId="0" xfId="0" applyFont="1" applyFill="1" applyBorder="1" applyAlignment="1"/>
    <xf numFmtId="4" fontId="17" fillId="0" borderId="0" xfId="0" applyNumberFormat="1" applyFont="1" applyFill="1"/>
    <xf numFmtId="3" fontId="2" fillId="0" borderId="1" xfId="2" applyNumberFormat="1" applyFont="1" applyFill="1" applyBorder="1" applyAlignment="1">
      <alignment horizontal="center" wrapText="1"/>
    </xf>
    <xf numFmtId="1" fontId="2" fillId="0" borderId="0" xfId="1" applyNumberFormat="1" applyFont="1" applyFill="1" applyAlignment="1">
      <alignment horizontal="center" vertical="center"/>
    </xf>
    <xf numFmtId="165"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right" wrapText="1"/>
    </xf>
    <xf numFmtId="0" fontId="2" fillId="0" borderId="0" xfId="0" applyFont="1" applyFill="1" applyBorder="1" applyAlignment="1">
      <alignment horizontal="center" vertical="center"/>
    </xf>
    <xf numFmtId="4" fontId="4" fillId="0" borderId="0" xfId="0" applyNumberFormat="1" applyFont="1" applyFill="1" applyBorder="1" applyAlignment="1">
      <alignment wrapText="1"/>
    </xf>
    <xf numFmtId="0" fontId="2" fillId="0" borderId="0" xfId="0" applyFont="1" applyFill="1" applyBorder="1" applyAlignment="1">
      <alignment horizontal="center" vertical="center" wrapText="1"/>
    </xf>
    <xf numFmtId="169" fontId="3" fillId="0" borderId="0" xfId="0" applyNumberFormat="1" applyFont="1" applyFill="1" applyBorder="1"/>
    <xf numFmtId="169" fontId="3" fillId="0" borderId="0" xfId="0" applyNumberFormat="1" applyFont="1" applyFill="1"/>
    <xf numFmtId="0" fontId="6" fillId="0" borderId="0" xfId="0"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9" fontId="5" fillId="0" borderId="0" xfId="0" applyNumberFormat="1" applyFont="1" applyFill="1" applyAlignment="1">
      <alignment horizontal="left"/>
    </xf>
    <xf numFmtId="165" fontId="3" fillId="0" borderId="0" xfId="0" applyNumberFormat="1" applyFont="1" applyFill="1" applyBorder="1" applyAlignment="1">
      <alignment horizontal="right" wrapText="1"/>
    </xf>
    <xf numFmtId="166" fontId="2" fillId="0" borderId="0" xfId="0" applyNumberFormat="1" applyFont="1" applyFill="1"/>
    <xf numFmtId="166" fontId="19" fillId="0" borderId="0" xfId="2" applyNumberFormat="1" applyFont="1" applyFill="1"/>
    <xf numFmtId="1" fontId="5" fillId="0" borderId="0" xfId="0" applyNumberFormat="1" applyFont="1" applyFill="1" applyAlignment="1">
      <alignment horizontal="left"/>
    </xf>
    <xf numFmtId="0" fontId="7" fillId="0" borderId="0" xfId="0" applyFont="1" applyFill="1" applyBorder="1" applyAlignment="1">
      <alignment vertical="center"/>
    </xf>
    <xf numFmtId="169" fontId="2" fillId="0" borderId="0" xfId="0" applyNumberFormat="1" applyFont="1" applyFill="1"/>
    <xf numFmtId="166" fontId="2" fillId="0" borderId="0" xfId="0" applyNumberFormat="1" applyFont="1" applyFill="1" applyBorder="1"/>
    <xf numFmtId="166" fontId="16" fillId="0" borderId="0" xfId="0" applyNumberFormat="1" applyFont="1" applyFill="1" applyBorder="1"/>
    <xf numFmtId="1" fontId="2" fillId="0" borderId="1" xfId="1" applyNumberFormat="1" applyFont="1" applyFill="1" applyBorder="1" applyAlignment="1">
      <alignment horizontal="center" wrapText="1"/>
    </xf>
    <xf numFmtId="1" fontId="2" fillId="0" borderId="1" xfId="1" applyNumberFormat="1" applyFont="1" applyFill="1" applyBorder="1" applyAlignment="1" applyProtection="1">
      <alignment horizontal="center" wrapText="1"/>
      <protection locked="0"/>
    </xf>
    <xf numFmtId="1" fontId="6" fillId="0" borderId="1" xfId="1" applyNumberFormat="1" applyFont="1" applyFill="1" applyBorder="1" applyAlignment="1">
      <alignment horizontal="center" wrapText="1"/>
    </xf>
    <xf numFmtId="1" fontId="2" fillId="0" borderId="1" xfId="1" applyNumberFormat="1" applyFont="1" applyFill="1" applyBorder="1" applyAlignment="1">
      <alignment horizontal="center"/>
    </xf>
    <xf numFmtId="1" fontId="14" fillId="0" borderId="1" xfId="1" applyNumberFormat="1" applyFont="1" applyFill="1" applyBorder="1" applyAlignment="1">
      <alignment horizontal="center"/>
    </xf>
    <xf numFmtId="1" fontId="6" fillId="0" borderId="1" xfId="1" applyNumberFormat="1" applyFont="1" applyFill="1" applyBorder="1" applyAlignment="1" applyProtection="1">
      <alignment horizontal="center" wrapText="1"/>
      <protection locked="0"/>
    </xf>
    <xf numFmtId="1" fontId="2" fillId="0" borderId="1" xfId="0" applyNumberFormat="1" applyFont="1" applyFill="1" applyBorder="1" applyAlignment="1">
      <alignment horizontal="center" wrapText="1"/>
    </xf>
    <xf numFmtId="1" fontId="6" fillId="0" borderId="1" xfId="0" applyNumberFormat="1" applyFont="1" applyFill="1" applyBorder="1" applyAlignment="1">
      <alignment horizontal="center" wrapText="1"/>
    </xf>
    <xf numFmtId="49" fontId="6" fillId="0" borderId="1" xfId="0" applyNumberFormat="1" applyFont="1" applyFill="1" applyBorder="1" applyAlignment="1">
      <alignment horizontal="center" wrapText="1"/>
    </xf>
    <xf numFmtId="49" fontId="2" fillId="0" borderId="1" xfId="0" applyNumberFormat="1" applyFont="1" applyFill="1" applyBorder="1" applyAlignment="1">
      <alignment horizontal="center"/>
    </xf>
    <xf numFmtId="2" fontId="2" fillId="0" borderId="0" xfId="0" applyNumberFormat="1" applyFont="1" applyFill="1" applyBorder="1" applyAlignment="1">
      <alignment horizontal="center" vertical="center" wrapText="1"/>
    </xf>
    <xf numFmtId="2" fontId="2" fillId="0" borderId="0" xfId="0" applyNumberFormat="1" applyFont="1" applyFill="1"/>
    <xf numFmtId="2" fontId="3" fillId="0" borderId="0" xfId="0" applyNumberFormat="1" applyFont="1" applyFill="1"/>
    <xf numFmtId="49" fontId="14" fillId="0" borderId="1" xfId="0" applyNumberFormat="1" applyFont="1" applyFill="1" applyBorder="1" applyAlignment="1">
      <alignment horizontal="center" wrapText="1"/>
    </xf>
    <xf numFmtId="1" fontId="6" fillId="0" borderId="1" xfId="1" applyNumberFormat="1" applyFont="1" applyFill="1" applyBorder="1" applyAlignment="1">
      <alignment horizontal="left" wrapText="1"/>
    </xf>
    <xf numFmtId="49" fontId="25" fillId="0" borderId="1" xfId="0" applyNumberFormat="1" applyFont="1" applyFill="1" applyBorder="1" applyAlignment="1">
      <alignment horizontal="center" wrapText="1"/>
    </xf>
    <xf numFmtId="0" fontId="2" fillId="0" borderId="1" xfId="9" applyFont="1" applyFill="1" applyBorder="1" applyAlignment="1" applyProtection="1">
      <alignment wrapText="1"/>
      <protection locked="0"/>
    </xf>
    <xf numFmtId="165" fontId="2" fillId="0" borderId="0" xfId="0" applyNumberFormat="1" applyFont="1" applyFill="1" applyBorder="1"/>
    <xf numFmtId="4" fontId="15" fillId="0" borderId="0" xfId="0" applyNumberFormat="1" applyFont="1" applyFill="1"/>
    <xf numFmtId="166" fontId="20" fillId="0" borderId="0" xfId="0" applyNumberFormat="1" applyFont="1" applyFill="1"/>
    <xf numFmtId="165" fontId="16" fillId="0" borderId="0" xfId="0" applyNumberFormat="1" applyFont="1" applyFill="1" applyBorder="1"/>
    <xf numFmtId="1" fontId="13" fillId="0" borderId="1" xfId="0" applyNumberFormat="1" applyFont="1" applyFill="1" applyBorder="1" applyAlignment="1">
      <alignment horizontal="center"/>
    </xf>
    <xf numFmtId="49" fontId="2" fillId="0" borderId="1" xfId="9" applyNumberFormat="1" applyFont="1" applyFill="1" applyBorder="1" applyAlignment="1">
      <alignment horizontal="left"/>
    </xf>
    <xf numFmtId="165" fontId="6" fillId="0" borderId="0"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2" fontId="18" fillId="0" borderId="0" xfId="0" applyNumberFormat="1" applyFont="1" applyFill="1"/>
    <xf numFmtId="0" fontId="17" fillId="0" borderId="0" xfId="0" applyNumberFormat="1" applyFont="1" applyFill="1"/>
    <xf numFmtId="165" fontId="17" fillId="0" borderId="0" xfId="0" applyNumberFormat="1" applyFont="1" applyFill="1"/>
    <xf numFmtId="171" fontId="2" fillId="0" borderId="0" xfId="0" applyNumberFormat="1" applyFont="1" applyFill="1"/>
    <xf numFmtId="170" fontId="2" fillId="0" borderId="0" xfId="0" applyNumberFormat="1" applyFont="1" applyFill="1"/>
    <xf numFmtId="4"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49" fontId="3" fillId="0" borderId="1" xfId="0" applyNumberFormat="1" applyFont="1" applyFill="1" applyBorder="1" applyAlignment="1">
      <alignment horizontal="left" vertical="center" wrapText="1"/>
    </xf>
    <xf numFmtId="1" fontId="3" fillId="0" borderId="1" xfId="1"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wrapText="1"/>
    </xf>
    <xf numFmtId="165" fontId="3" fillId="0" borderId="1" xfId="0" applyNumberFormat="1" applyFont="1" applyFill="1" applyBorder="1" applyAlignment="1">
      <alignment horizontal="right" vertical="center" wrapText="1"/>
    </xf>
    <xf numFmtId="0" fontId="2" fillId="0" borderId="1" xfId="0" applyFont="1" applyFill="1" applyBorder="1" applyAlignment="1">
      <alignment horizontal="center" vertical="center" wrapText="1"/>
    </xf>
    <xf numFmtId="166" fontId="3" fillId="0" borderId="1" xfId="0" applyNumberFormat="1" applyFont="1" applyFill="1" applyBorder="1" applyAlignment="1">
      <alignment horizontal="right" vertical="center" wrapText="1"/>
    </xf>
    <xf numFmtId="3" fontId="2" fillId="0" borderId="3" xfId="2" applyNumberFormat="1" applyFont="1" applyFill="1" applyBorder="1" applyAlignment="1">
      <alignment wrapText="1"/>
    </xf>
    <xf numFmtId="3" fontId="2" fillId="0" borderId="3" xfId="2" applyNumberFormat="1" applyFont="1" applyFill="1" applyBorder="1" applyAlignment="1">
      <alignment horizontal="left" wrapText="1"/>
    </xf>
    <xf numFmtId="49" fontId="2" fillId="0" borderId="3" xfId="0" applyNumberFormat="1" applyFont="1" applyFill="1" applyBorder="1" applyAlignment="1">
      <alignment horizontal="center" wrapText="1"/>
    </xf>
    <xf numFmtId="1" fontId="2" fillId="0" borderId="3" xfId="1" applyNumberFormat="1" applyFont="1" applyFill="1" applyBorder="1" applyAlignment="1">
      <alignment horizontal="center" wrapText="1"/>
    </xf>
    <xf numFmtId="3" fontId="3" fillId="2" borderId="7" xfId="2" applyNumberFormat="1" applyFont="1" applyFill="1" applyBorder="1" applyAlignment="1"/>
    <xf numFmtId="3" fontId="3" fillId="2" borderId="4" xfId="2" applyNumberFormat="1" applyFont="1" applyFill="1" applyBorder="1" applyAlignment="1">
      <alignment horizontal="left" wrapText="1"/>
    </xf>
    <xf numFmtId="49" fontId="3" fillId="2" borderId="4" xfId="0" applyNumberFormat="1" applyFont="1" applyFill="1" applyBorder="1" applyAlignment="1">
      <alignment horizontal="center" wrapText="1"/>
    </xf>
    <xf numFmtId="1" fontId="3" fillId="2" borderId="4" xfId="1" applyNumberFormat="1" applyFont="1" applyFill="1" applyBorder="1" applyAlignment="1">
      <alignment horizontal="center" wrapText="1"/>
    </xf>
    <xf numFmtId="0" fontId="3" fillId="2" borderId="7" xfId="0" applyFont="1" applyFill="1" applyBorder="1" applyAlignment="1"/>
    <xf numFmtId="0" fontId="3" fillId="2" borderId="1" xfId="0" applyFont="1" applyFill="1" applyBorder="1" applyAlignment="1"/>
    <xf numFmtId="0" fontId="3" fillId="2" borderId="1" xfId="0" applyFont="1" applyFill="1" applyBorder="1" applyAlignment="1">
      <alignment horizontal="left" wrapText="1"/>
    </xf>
    <xf numFmtId="49" fontId="3" fillId="2" borderId="1" xfId="0" applyNumberFormat="1" applyFont="1" applyFill="1" applyBorder="1" applyAlignment="1">
      <alignment horizontal="center" wrapText="1"/>
    </xf>
    <xf numFmtId="1" fontId="3" fillId="2" borderId="1" xfId="1" applyNumberFormat="1" applyFont="1" applyFill="1" applyBorder="1" applyAlignment="1">
      <alignment horizontal="center" wrapText="1"/>
    </xf>
    <xf numFmtId="3" fontId="3" fillId="2" borderId="1" xfId="2" applyNumberFormat="1" applyFont="1" applyFill="1" applyBorder="1" applyAlignment="1"/>
    <xf numFmtId="3" fontId="3" fillId="2" borderId="1" xfId="11" applyNumberFormat="1" applyFont="1" applyFill="1" applyBorder="1" applyAlignment="1">
      <alignment horizontal="left" wrapText="1"/>
    </xf>
    <xf numFmtId="3" fontId="3" fillId="2" borderId="1" xfId="2" applyNumberFormat="1" applyFont="1" applyFill="1" applyBorder="1" applyAlignment="1">
      <alignment horizontal="left" wrapText="1"/>
    </xf>
    <xf numFmtId="169" fontId="3" fillId="2" borderId="1" xfId="2" applyNumberFormat="1" applyFont="1" applyFill="1" applyBorder="1" applyAlignment="1"/>
    <xf numFmtId="169" fontId="3" fillId="2" borderId="1" xfId="2" applyNumberFormat="1" applyFont="1" applyFill="1" applyBorder="1" applyAlignment="1">
      <alignment horizontal="left" wrapText="1"/>
    </xf>
    <xf numFmtId="169" fontId="3" fillId="2" borderId="1" xfId="0" applyNumberFormat="1" applyFont="1" applyFill="1" applyBorder="1" applyAlignment="1">
      <alignment horizontal="center" wrapText="1"/>
    </xf>
    <xf numFmtId="0" fontId="3" fillId="2" borderId="1" xfId="2" applyNumberFormat="1" applyFont="1" applyFill="1" applyBorder="1" applyAlignment="1">
      <alignment wrapText="1"/>
    </xf>
    <xf numFmtId="0" fontId="3" fillId="2" borderId="1" xfId="2" applyFont="1" applyFill="1" applyBorder="1" applyAlignment="1">
      <alignment wrapText="1"/>
    </xf>
    <xf numFmtId="4" fontId="8" fillId="0"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right" vertical="center" wrapText="1"/>
    </xf>
    <xf numFmtId="4"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8" fillId="0" borderId="6"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3" fontId="3" fillId="0" borderId="7" xfId="2" applyNumberFormat="1" applyFont="1" applyFill="1" applyBorder="1" applyAlignment="1"/>
    <xf numFmtId="3" fontId="3" fillId="0" borderId="4" xfId="2" applyNumberFormat="1" applyFont="1" applyFill="1" applyBorder="1" applyAlignment="1">
      <alignment horizontal="left" wrapText="1"/>
    </xf>
    <xf numFmtId="49" fontId="3" fillId="0" borderId="4" xfId="0" applyNumberFormat="1" applyFont="1" applyFill="1" applyBorder="1" applyAlignment="1">
      <alignment horizontal="center" wrapText="1"/>
    </xf>
    <xf numFmtId="1" fontId="3" fillId="0" borderId="4" xfId="1" applyNumberFormat="1" applyFont="1" applyFill="1" applyBorder="1" applyAlignment="1">
      <alignment horizontal="center" wrapText="1"/>
    </xf>
    <xf numFmtId="4" fontId="2" fillId="2" borderId="3"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0" fontId="8" fillId="0" borderId="1" xfId="2"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 fontId="2" fillId="0" borderId="1" xfId="1"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168" fontId="8"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right" wrapText="1"/>
    </xf>
    <xf numFmtId="176" fontId="2" fillId="2" borderId="1" xfId="0" applyNumberFormat="1" applyFont="1" applyFill="1" applyBorder="1" applyAlignment="1">
      <alignment horizontal="right" wrapText="1"/>
    </xf>
    <xf numFmtId="176" fontId="2" fillId="0" borderId="1" xfId="0" applyNumberFormat="1" applyFont="1" applyFill="1" applyBorder="1" applyAlignment="1">
      <alignment horizontal="right" wrapText="1"/>
    </xf>
    <xf numFmtId="176" fontId="2" fillId="0" borderId="1" xfId="0" applyNumberFormat="1" applyFont="1" applyFill="1" applyBorder="1" applyAlignment="1">
      <alignment horizontal="center" wrapText="1"/>
    </xf>
    <xf numFmtId="176" fontId="2" fillId="2" borderId="1" xfId="0" applyNumberFormat="1" applyFont="1" applyFill="1" applyBorder="1" applyAlignment="1">
      <alignment horizontal="center" wrapText="1"/>
    </xf>
    <xf numFmtId="176" fontId="2" fillId="0" borderId="1" xfId="0" applyNumberFormat="1" applyFont="1" applyFill="1" applyBorder="1"/>
    <xf numFmtId="176" fontId="2" fillId="0" borderId="6" xfId="0" applyNumberFormat="1" applyFont="1" applyFill="1" applyBorder="1" applyAlignment="1">
      <alignment horizontal="center" wrapText="1"/>
    </xf>
    <xf numFmtId="176" fontId="2" fillId="0" borderId="1" xfId="0" applyNumberFormat="1" applyFont="1" applyFill="1" applyBorder="1" applyAlignment="1"/>
    <xf numFmtId="176" fontId="2" fillId="2" borderId="1" xfId="0" applyNumberFormat="1" applyFont="1" applyFill="1" applyBorder="1" applyAlignment="1"/>
    <xf numFmtId="176" fontId="2" fillId="0" borderId="6" xfId="0" applyNumberFormat="1" applyFont="1" applyFill="1" applyBorder="1" applyAlignment="1"/>
    <xf numFmtId="176" fontId="2" fillId="0" borderId="1" xfId="0" applyNumberFormat="1" applyFont="1" applyFill="1" applyBorder="1" applyAlignment="1">
      <alignment horizontal="center" vertical="center" wrapText="1"/>
    </xf>
    <xf numFmtId="176" fontId="2" fillId="0" borderId="6" xfId="0" applyNumberFormat="1" applyFont="1" applyFill="1" applyBorder="1" applyAlignment="1">
      <alignment horizontal="right" wrapText="1"/>
    </xf>
    <xf numFmtId="176" fontId="2" fillId="0" borderId="1" xfId="0" applyNumberFormat="1" applyFont="1" applyFill="1" applyBorder="1" applyAlignment="1">
      <alignment horizontal="right"/>
    </xf>
    <xf numFmtId="176" fontId="3" fillId="2" borderId="1" xfId="0" applyNumberFormat="1" applyFont="1" applyFill="1" applyBorder="1" applyAlignment="1"/>
    <xf numFmtId="176" fontId="3" fillId="2" borderId="6" xfId="0" applyNumberFormat="1" applyFont="1" applyFill="1" applyBorder="1" applyAlignment="1"/>
    <xf numFmtId="176" fontId="3" fillId="2" borderId="1" xfId="0" applyNumberFormat="1" applyFont="1" applyFill="1" applyBorder="1" applyAlignment="1">
      <alignment horizontal="right" wrapText="1"/>
    </xf>
    <xf numFmtId="176" fontId="3" fillId="2" borderId="6" xfId="0" applyNumberFormat="1" applyFont="1" applyFill="1" applyBorder="1" applyAlignment="1">
      <alignment horizontal="right" wrapText="1"/>
    </xf>
    <xf numFmtId="176" fontId="2" fillId="2" borderId="1" xfId="0" applyNumberFormat="1" applyFont="1" applyFill="1" applyBorder="1" applyAlignment="1">
      <alignment horizontal="right"/>
    </xf>
    <xf numFmtId="176" fontId="15" fillId="0" borderId="1" xfId="0" applyNumberFormat="1" applyFont="1" applyFill="1" applyBorder="1" applyAlignment="1">
      <alignment horizontal="right" wrapText="1"/>
    </xf>
    <xf numFmtId="176" fontId="2" fillId="0" borderId="1" xfId="1" applyNumberFormat="1" applyFont="1" applyFill="1" applyBorder="1" applyAlignment="1">
      <alignment horizontal="center" wrapText="1"/>
    </xf>
    <xf numFmtId="176" fontId="2" fillId="2" borderId="1" xfId="1" applyNumberFormat="1" applyFont="1" applyFill="1" applyBorder="1" applyAlignment="1">
      <alignment horizontal="center" wrapText="1"/>
    </xf>
    <xf numFmtId="176" fontId="13" fillId="0" borderId="1" xfId="0" applyNumberFormat="1" applyFont="1" applyFill="1" applyBorder="1" applyAlignment="1">
      <alignment horizontal="right" wrapText="1"/>
    </xf>
    <xf numFmtId="176" fontId="16" fillId="0" borderId="1" xfId="0" applyNumberFormat="1" applyFont="1" applyFill="1" applyBorder="1" applyAlignment="1">
      <alignment horizontal="right" wrapText="1"/>
    </xf>
    <xf numFmtId="176" fontId="2" fillId="0" borderId="1" xfId="0" applyNumberFormat="1" applyFont="1" applyFill="1" applyBorder="1" applyAlignment="1">
      <alignment vertical="center" wrapText="1"/>
    </xf>
    <xf numFmtId="176" fontId="2" fillId="0" borderId="1" xfId="2" applyNumberFormat="1" applyFont="1" applyFill="1" applyBorder="1" applyAlignment="1">
      <alignment horizontal="left" wrapText="1"/>
    </xf>
    <xf numFmtId="176" fontId="2" fillId="2" borderId="1" xfId="2" applyNumberFormat="1" applyFont="1" applyFill="1" applyBorder="1" applyAlignment="1">
      <alignment horizontal="right" wrapText="1"/>
    </xf>
    <xf numFmtId="176" fontId="2" fillId="0" borderId="1" xfId="2" applyNumberFormat="1" applyFont="1" applyFill="1" applyBorder="1" applyAlignment="1">
      <alignment horizontal="right" wrapText="1"/>
    </xf>
    <xf numFmtId="176" fontId="2" fillId="2" borderId="1" xfId="2" applyNumberFormat="1" applyFont="1" applyFill="1" applyBorder="1" applyAlignment="1">
      <alignment horizontal="left" wrapText="1"/>
    </xf>
    <xf numFmtId="176" fontId="3" fillId="0" borderId="6" xfId="0" applyNumberFormat="1" applyFont="1" applyFill="1" applyBorder="1" applyAlignment="1">
      <alignment horizontal="right" wrapText="1"/>
    </xf>
    <xf numFmtId="176" fontId="15" fillId="0" borderId="1" xfId="0" applyNumberFormat="1" applyFont="1" applyFill="1" applyBorder="1" applyAlignment="1"/>
    <xf numFmtId="176" fontId="16" fillId="0" borderId="1" xfId="0" applyNumberFormat="1" applyFont="1" applyFill="1" applyBorder="1"/>
    <xf numFmtId="176" fontId="13" fillId="2" borderId="1" xfId="0" applyNumberFormat="1" applyFont="1" applyFill="1" applyBorder="1" applyAlignment="1"/>
    <xf numFmtId="176" fontId="16" fillId="0" borderId="1" xfId="0" applyNumberFormat="1" applyFont="1" applyFill="1" applyBorder="1" applyAlignment="1"/>
    <xf numFmtId="176" fontId="16" fillId="2" borderId="1" xfId="0" applyNumberFormat="1" applyFont="1" applyFill="1" applyBorder="1" applyAlignment="1"/>
    <xf numFmtId="176" fontId="16" fillId="2" borderId="1" xfId="0" applyNumberFormat="1" applyFont="1" applyFill="1" applyBorder="1" applyAlignment="1">
      <alignment horizontal="right" wrapText="1"/>
    </xf>
    <xf numFmtId="176" fontId="16" fillId="0" borderId="6" xfId="0" applyNumberFormat="1" applyFont="1" applyFill="1" applyBorder="1" applyAlignment="1"/>
    <xf numFmtId="176" fontId="3" fillId="2" borderId="4" xfId="0" applyNumberFormat="1" applyFont="1" applyFill="1" applyBorder="1" applyAlignment="1">
      <alignment horizontal="right" wrapText="1"/>
    </xf>
    <xf numFmtId="176" fontId="3" fillId="2" borderId="9" xfId="0" applyNumberFormat="1" applyFont="1" applyFill="1" applyBorder="1" applyAlignment="1">
      <alignment horizontal="right" wrapText="1"/>
    </xf>
    <xf numFmtId="176" fontId="3" fillId="0" borderId="3" xfId="0" applyNumberFormat="1" applyFont="1" applyFill="1" applyBorder="1" applyAlignment="1">
      <alignment horizontal="right" wrapText="1"/>
    </xf>
    <xf numFmtId="176" fontId="2" fillId="2" borderId="3" xfId="0" applyNumberFormat="1" applyFont="1" applyFill="1" applyBorder="1" applyAlignment="1">
      <alignment horizontal="right" wrapText="1"/>
    </xf>
    <xf numFmtId="176" fontId="2" fillId="2" borderId="3" xfId="0" applyNumberFormat="1" applyFont="1" applyFill="1" applyBorder="1" applyAlignment="1"/>
    <xf numFmtId="176" fontId="2" fillId="0" borderId="3" xfId="0" applyNumberFormat="1" applyFont="1" applyFill="1" applyBorder="1" applyAlignment="1"/>
    <xf numFmtId="176" fontId="2" fillId="0" borderId="3" xfId="0" applyNumberFormat="1" applyFont="1" applyFill="1" applyBorder="1" applyAlignment="1">
      <alignment horizontal="right" wrapText="1"/>
    </xf>
    <xf numFmtId="176" fontId="2" fillId="0" borderId="3" xfId="0" applyNumberFormat="1" applyFont="1" applyFill="1" applyBorder="1" applyAlignment="1">
      <alignment horizontal="center" wrapText="1"/>
    </xf>
    <xf numFmtId="176" fontId="2" fillId="2" borderId="3" xfId="0" applyNumberFormat="1" applyFont="1" applyFill="1" applyBorder="1" applyAlignment="1">
      <alignment horizontal="center" wrapText="1"/>
    </xf>
    <xf numFmtId="176" fontId="2" fillId="0" borderId="8" xfId="0" applyNumberFormat="1" applyFont="1" applyFill="1" applyBorder="1" applyAlignment="1"/>
    <xf numFmtId="176" fontId="3" fillId="0" borderId="4" xfId="0" applyNumberFormat="1" applyFont="1" applyFill="1" applyBorder="1" applyAlignment="1">
      <alignment horizontal="right" wrapText="1"/>
    </xf>
    <xf numFmtId="176" fontId="3" fillId="0" borderId="10" xfId="0" applyNumberFormat="1" applyFont="1" applyFill="1" applyBorder="1" applyAlignment="1">
      <alignment horizontal="right" wrapText="1"/>
    </xf>
    <xf numFmtId="176" fontId="3" fillId="0" borderId="9" xfId="0" applyNumberFormat="1" applyFont="1" applyFill="1" applyBorder="1" applyAlignment="1">
      <alignment horizontal="right" wrapText="1"/>
    </xf>
  </cellXfs>
  <cellStyles count="23">
    <cellStyle name="TableStyleLight1" xfId="17"/>
    <cellStyle name="Денежный [0] 2" xfId="12"/>
    <cellStyle name="Обычный" xfId="0" builtinId="0"/>
    <cellStyle name="Обычный 10" xfId="9"/>
    <cellStyle name="Обычный 11" xfId="10"/>
    <cellStyle name="Обычный 2" xfId="3"/>
    <cellStyle name="Обычный 3" xfId="19"/>
    <cellStyle name="Обычный 4" xfId="20"/>
    <cellStyle name="Обычный 6" xfId="5"/>
    <cellStyle name="Обычный 7" xfId="6"/>
    <cellStyle name="Обычный 8" xfId="7"/>
    <cellStyle name="Обычный 9" xfId="8"/>
    <cellStyle name="Обычный_Дотации краев федер бюджет 2001" xfId="2"/>
    <cellStyle name="Обычный_РЕЕСТР НА ПРИОБР 2011  ноябрь_приобретение на 01.11.2011" xfId="4"/>
    <cellStyle name="Финансовый" xfId="1" builtinId="3"/>
    <cellStyle name="Финансовый [0] 2" xfId="13"/>
    <cellStyle name="Финансовый [0]_Дотации краев федер бюджет 2001" xfId="11"/>
    <cellStyle name="Финансовый 2" xfId="18"/>
    <cellStyle name="Финансовый 3" xfId="21"/>
    <cellStyle name="Финансовый 4" xfId="15"/>
    <cellStyle name="Финансовый 5" xfId="14"/>
    <cellStyle name="Финансовый 6" xfId="22"/>
    <cellStyle name="Финансовый 9" xfId="16"/>
  </cellStyles>
  <dxfs count="0"/>
  <tableStyles count="0" defaultTableStyle="TableStyleMedium9" defaultPivotStyle="PivotStyleLight16"/>
  <colors>
    <mruColors>
      <color rgb="FFCCCCFF"/>
      <color rgb="FF0000CC"/>
      <color rgb="FFCCECFF"/>
      <color rgb="FF00FF00"/>
      <color rgb="FFFF66CC"/>
      <color rgb="FF00FFFF"/>
      <color rgb="FFFFFFB7"/>
      <color rgb="FFCC99FF"/>
      <color rgb="FFFFFFCC"/>
      <color rgb="FF7DFBB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0</xdr:rowOff>
    </xdr:from>
    <xdr:to>
      <xdr:col>4</xdr:col>
      <xdr:colOff>762179</xdr:colOff>
      <xdr:row>41</xdr:row>
      <xdr:rowOff>0</xdr:rowOff>
    </xdr:to>
    <xdr:sp macro="" textlink="" fLocksText="0">
      <xdr:nvSpPr>
        <xdr:cNvPr id="2" name="Text Box 3"/>
        <xdr:cNvSpPr txBox="1">
          <a:spLocks noChangeArrowheads="1"/>
        </xdr:cNvSpPr>
      </xdr:nvSpPr>
      <xdr:spPr bwMode="auto">
        <a:xfrm>
          <a:off x="0" y="5857875"/>
          <a:ext cx="6543854" cy="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ru-RU" sz="1100" b="0" i="0" u="none" strike="noStrike" baseline="0">
              <a:solidFill>
                <a:srgbClr val="000000"/>
              </a:solidFill>
              <a:latin typeface="Times New Roman"/>
              <a:cs typeface="Times New Roman"/>
            </a:rPr>
            <a:t>Руководитель органа, уполномоченного высшим органом</a:t>
          </a:r>
        </a:p>
        <a:p>
          <a:pPr algn="l" rtl="0">
            <a:defRPr sz="1000"/>
          </a:pPr>
          <a:r>
            <a:rPr lang="ru-RU" sz="1100" b="0" i="0" u="none" strike="noStrike" baseline="0">
              <a:solidFill>
                <a:srgbClr val="000000"/>
              </a:solidFill>
              <a:latin typeface="Times New Roman"/>
              <a:cs typeface="Times New Roman"/>
            </a:rPr>
            <a:t>исполнительной власти субъекта Российской Федерации   </a:t>
          </a:r>
          <a:r>
            <a:rPr lang="ru-RU" sz="1100" b="0" i="0" u="sng" strike="noStrike" baseline="0">
              <a:solidFill>
                <a:srgbClr val="000000"/>
              </a:solidFill>
              <a:latin typeface="Times New Roman"/>
              <a:cs typeface="Times New Roman"/>
            </a:rPr>
            <a:t>                                                                                                                                            </a:t>
          </a:r>
          <a:r>
            <a:rPr lang="ru-RU" sz="1100" b="0" i="0" u="none" strike="noStrike" baseline="0">
              <a:solidFill>
                <a:srgbClr val="000000"/>
              </a:solidFill>
              <a:latin typeface="Times New Roman"/>
              <a:cs typeface="Times New Roman"/>
            </a:rPr>
            <a:t> (должность)</a:t>
          </a:r>
        </a:p>
        <a:p>
          <a:pPr algn="l" rtl="0">
            <a:defRPr sz="1000"/>
          </a:pPr>
          <a:endParaRPr lang="ru-RU" sz="1100" b="0" i="0" u="none" strike="noStrike" baseline="0">
            <a:solidFill>
              <a:srgbClr val="000000"/>
            </a:solidFill>
            <a:latin typeface="Times New Roman"/>
            <a:cs typeface="Times New Roman"/>
          </a:endParaRPr>
        </a:p>
        <a:p>
          <a:pPr algn="l" rtl="0">
            <a:defRPr sz="1000"/>
          </a:pPr>
          <a:r>
            <a:rPr lang="ru-RU" sz="1100" b="0" i="0" u="none" strike="noStrike" baseline="0">
              <a:solidFill>
                <a:srgbClr val="000000"/>
              </a:solidFill>
              <a:latin typeface="Times New Roman"/>
              <a:cs typeface="Times New Roman"/>
            </a:rPr>
            <a:t>                                                                                           </a:t>
          </a:r>
          <a:r>
            <a:rPr lang="ru-RU" sz="1100" b="0" i="0" u="sng" strike="noStrike" baseline="0">
              <a:solidFill>
                <a:srgbClr val="000000"/>
              </a:solidFill>
              <a:latin typeface="Times New Roman"/>
              <a:cs typeface="Times New Roman"/>
            </a:rPr>
            <a:t>                                     </a:t>
          </a:r>
          <a:r>
            <a:rPr lang="ru-RU" sz="1100" b="0" i="0" u="none" strike="noStrike" baseline="0">
              <a:solidFill>
                <a:srgbClr val="000000"/>
              </a:solidFill>
              <a:latin typeface="Times New Roman"/>
              <a:cs typeface="Times New Roman"/>
            </a:rPr>
            <a:t> (подпись)    </a:t>
          </a:r>
          <a:r>
            <a:rPr lang="ru-RU" sz="1100" b="0" i="0" u="sng" strike="noStrike" baseline="0">
              <a:solidFill>
                <a:srgbClr val="000000"/>
              </a:solidFill>
              <a:latin typeface="Times New Roman"/>
              <a:cs typeface="Times New Roman"/>
            </a:rPr>
            <a:t>                                                                                    </a:t>
          </a:r>
          <a:r>
            <a:rPr lang="ru-RU" sz="1100" b="0" i="0" u="none" strike="noStrike" baseline="0">
              <a:solidFill>
                <a:srgbClr val="000000"/>
              </a:solidFill>
              <a:latin typeface="Times New Roman"/>
              <a:cs typeface="Times New Roman"/>
            </a:rPr>
            <a:t> (расшифровка подписи)</a:t>
          </a:r>
        </a:p>
        <a:p>
          <a:pPr algn="l" rtl="0">
            <a:defRPr sz="1000"/>
          </a:pPr>
          <a:endParaRPr lang="ru-RU" sz="1100" b="0" i="0" u="none" strike="noStrike" baseline="0">
            <a:solidFill>
              <a:srgbClr val="000000"/>
            </a:solidFill>
            <a:latin typeface="Times New Roman"/>
            <a:cs typeface="Times New Roman"/>
          </a:endParaRPr>
        </a:p>
        <a:p>
          <a:pPr algn="l" rtl="0">
            <a:defRPr sz="1000"/>
          </a:pPr>
          <a:r>
            <a:rPr lang="ru-RU" sz="1100" b="0" i="0" u="none" strike="noStrike" baseline="0">
              <a:solidFill>
                <a:srgbClr val="000000"/>
              </a:solidFill>
              <a:latin typeface="Times New Roman"/>
              <a:cs typeface="Times New Roman"/>
            </a:rPr>
            <a:t>Главный бухгалтер органа, уполномоченного </a:t>
          </a:r>
        </a:p>
        <a:p>
          <a:pPr algn="l" rtl="0">
            <a:defRPr sz="1000"/>
          </a:pPr>
          <a:r>
            <a:rPr lang="ru-RU" sz="1100" b="0" i="0" u="none" strike="noStrike" baseline="0">
              <a:solidFill>
                <a:srgbClr val="000000"/>
              </a:solidFill>
              <a:latin typeface="Times New Roman"/>
              <a:cs typeface="Times New Roman"/>
            </a:rPr>
            <a:t>высшим органом исполнительной власти</a:t>
          </a:r>
        </a:p>
        <a:p>
          <a:pPr algn="l" rtl="0">
            <a:defRPr sz="1000"/>
          </a:pPr>
          <a:r>
            <a:rPr lang="ru-RU" sz="1100" b="0" i="0" u="none" strike="noStrike" baseline="0">
              <a:solidFill>
                <a:srgbClr val="000000"/>
              </a:solidFill>
              <a:latin typeface="Times New Roman"/>
              <a:cs typeface="Times New Roman"/>
            </a:rPr>
            <a:t>субъекта Российской Федерации                                          </a:t>
          </a:r>
          <a:r>
            <a:rPr lang="ru-RU" sz="1100" b="0" i="0" u="sng" strike="noStrike" baseline="0">
              <a:solidFill>
                <a:srgbClr val="000000"/>
              </a:solidFill>
              <a:latin typeface="Times New Roman"/>
              <a:cs typeface="Times New Roman"/>
            </a:rPr>
            <a:t>                                      </a:t>
          </a:r>
          <a:r>
            <a:rPr lang="ru-RU" sz="1100" b="0" i="0" u="none" strike="noStrike" baseline="0">
              <a:solidFill>
                <a:srgbClr val="000000"/>
              </a:solidFill>
              <a:latin typeface="Times New Roman"/>
              <a:cs typeface="Times New Roman"/>
            </a:rPr>
            <a:t> (подпись)    </a:t>
          </a:r>
          <a:r>
            <a:rPr lang="ru-RU" sz="1100" b="0" i="0" u="sng" strike="noStrike" baseline="0">
              <a:solidFill>
                <a:srgbClr val="000000"/>
              </a:solidFill>
              <a:latin typeface="Times New Roman"/>
              <a:cs typeface="Times New Roman"/>
            </a:rPr>
            <a:t>                                                                                 </a:t>
          </a:r>
          <a:r>
            <a:rPr lang="ru-RU" sz="1100" b="0" i="0" u="none" strike="noStrike" baseline="0">
              <a:solidFill>
                <a:srgbClr val="000000"/>
              </a:solidFill>
              <a:latin typeface="Times New Roman"/>
              <a:cs typeface="Times New Roman"/>
            </a:rPr>
            <a:t> (расшифровка подписи)</a:t>
          </a:r>
        </a:p>
        <a:p>
          <a:pPr algn="l" rtl="0">
            <a:defRPr sz="1000"/>
          </a:pPr>
          <a:endParaRPr lang="ru-RU" sz="1100" b="0" i="0" u="none" strike="noStrike" baseline="0">
            <a:solidFill>
              <a:srgbClr val="000000"/>
            </a:solidFill>
            <a:latin typeface="Times New Roman"/>
            <a:cs typeface="Times New Roman"/>
          </a:endParaRPr>
        </a:p>
        <a:p>
          <a:pPr algn="l" rtl="0">
            <a:defRPr sz="1000"/>
          </a:pPr>
          <a:r>
            <a:rPr lang="ru-RU" sz="1100" b="0" i="0" u="none" strike="noStrike" baseline="0">
              <a:solidFill>
                <a:srgbClr val="000000"/>
              </a:solidFill>
              <a:latin typeface="Times New Roman"/>
              <a:cs typeface="Times New Roman"/>
            </a:rPr>
            <a:t>"_____" _______________________ 20     г.</a:t>
          </a:r>
        </a:p>
        <a:p>
          <a:pPr algn="l" rtl="0">
            <a:defRPr sz="1000"/>
          </a:pPr>
          <a:r>
            <a:rPr lang="ru-RU" sz="1100" b="0" i="0" u="none" strike="noStrike" baseline="0">
              <a:solidFill>
                <a:srgbClr val="000000"/>
              </a:solidFill>
              <a:latin typeface="Times New Roman"/>
              <a:cs typeface="Times New Roman"/>
            </a:rPr>
            <a:t>        </a:t>
          </a:r>
        </a:p>
        <a:p>
          <a:pPr algn="l" rtl="0">
            <a:defRPr sz="1000"/>
          </a:pPr>
          <a:r>
            <a:rPr lang="ru-RU" sz="1100" b="0" i="0" u="none" strike="noStrike" baseline="0">
              <a:solidFill>
                <a:srgbClr val="000000"/>
              </a:solidFill>
              <a:latin typeface="Times New Roman"/>
              <a:cs typeface="Times New Roman"/>
            </a:rPr>
            <a:t>       М.П.</a:t>
          </a:r>
        </a:p>
        <a:p>
          <a:pPr algn="l" rtl="0">
            <a:defRPr sz="1000"/>
          </a:pPr>
          <a:endParaRPr lang="ru-RU" sz="1100" b="0" i="0" u="none" strike="noStrike" baseline="0">
            <a:solidFill>
              <a:srgbClr val="000000"/>
            </a:solidFill>
            <a:latin typeface="Times New Roman"/>
            <a:cs typeface="Times New Roman"/>
          </a:endParaRPr>
        </a:p>
        <a:p>
          <a:pPr algn="l" rtl="0">
            <a:defRPr sz="1000"/>
          </a:pPr>
          <a:r>
            <a:rPr lang="ru-RU" sz="1100" b="0" i="0" u="none" strike="noStrike" baseline="0">
              <a:solidFill>
                <a:srgbClr val="000000"/>
              </a:solidFill>
              <a:latin typeface="Times New Roman"/>
              <a:cs typeface="Times New Roman"/>
            </a:rPr>
            <a:t>Исполнитель: </a:t>
          </a:r>
          <a:r>
            <a:rPr lang="ru-RU" sz="1100" b="0" i="0" u="sng" strike="noStrike" baseline="0">
              <a:solidFill>
                <a:srgbClr val="000000"/>
              </a:solidFill>
              <a:latin typeface="Times New Roman"/>
              <a:cs typeface="Times New Roman"/>
            </a:rPr>
            <a:t>                                                                            </a:t>
          </a:r>
          <a:r>
            <a:rPr lang="ru-RU" sz="1100" b="0" i="0" u="none" strike="noStrike" baseline="0">
              <a:solidFill>
                <a:srgbClr val="000000"/>
              </a:solidFill>
              <a:latin typeface="Times New Roman"/>
              <a:cs typeface="Times New Roman"/>
            </a:rPr>
            <a:t> (Ф.И.О)   тел. </a:t>
          </a:r>
          <a:r>
            <a:rPr lang="ru-RU" sz="1100" b="0" i="0" u="sng" strike="noStrike" baseline="0">
              <a:solidFill>
                <a:srgbClr val="000000"/>
              </a:solidFill>
              <a:latin typeface="Times New Roman"/>
              <a:cs typeface="Times New Roman"/>
            </a:rPr>
            <a:t>                                      </a:t>
          </a:r>
          <a:r>
            <a:rPr lang="ru-RU" sz="1100" b="0" i="0" u="none" strike="noStrike" baseline="0">
              <a:solidFill>
                <a:srgbClr val="000000"/>
              </a:solidFill>
              <a:latin typeface="Times New Roman"/>
              <a:cs typeface="Times New Roman"/>
            </a:rPr>
            <a:t>  </a:t>
          </a:r>
          <a:r>
            <a:rPr lang="en-US" sz="1100" b="0" i="0" u="none" strike="noStrike" baseline="0">
              <a:solidFill>
                <a:srgbClr val="000000"/>
              </a:solidFill>
              <a:latin typeface="Times New Roman"/>
              <a:cs typeface="Times New Roman"/>
            </a:rPr>
            <a:t>e-mail: </a:t>
          </a:r>
          <a:r>
            <a:rPr lang="en-US" sz="1100" b="0" i="0" u="sng" strike="noStrike" baseline="0">
              <a:solidFill>
                <a:srgbClr val="000000"/>
              </a:solidFill>
              <a:latin typeface="Times New Roman"/>
              <a:cs typeface="Times New Roman"/>
            </a:rPr>
            <a:t>                                                          </a:t>
          </a:r>
        </a:p>
        <a:p>
          <a:pPr algn="l" rtl="0">
            <a:defRPr sz="1000"/>
          </a:pPr>
          <a:endParaRPr lang="en-US" sz="1100" b="0" i="0" u="sng"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 </a:t>
          </a:r>
          <a:r>
            <a:rPr lang="ru-RU" sz="1100" b="0" i="0" u="none" strike="noStrike" baseline="0">
              <a:solidFill>
                <a:srgbClr val="000000"/>
              </a:solidFill>
              <a:latin typeface="Times New Roman"/>
              <a:cs typeface="Times New Roman"/>
            </a:rPr>
            <a:t>заполняется по видам сельскохозяйственных товаропроизводителей: сельскохозяйственные организации, крестьянские (фермерские) хозяйства и т.п</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4;_&#1048;&#1089;&#1087;&#1086;&#1083;&#1085;&#1077;&#1085;&#1080;&#1103;_&#1073;&#1102;&#1076;&#1078;&#1077;&#1090;&#1072;_04/&#1054;&#1090;&#1095;&#1077;&#1090;&#1099;%20&#1087;&#1086;%20&#1060;&#1077;&#1076;&#1077;&#1088;&#1072;&#1094;&#1080;&#1080;%20&#1080;%20&#1082;&#1088;&#1072;&#1102;/2013%20&#1075;&#1086;&#1076;/&#1043;&#1055;-61%20&#1087;&#1072;&#1096;&#1085;&#1103;/01.01/&#1043;&#1055;-61&#1088;%20&#1089;%202013%20&#1075;&#1086;&#1076;&#1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ovalenko/AppData/Roaming/Microsoft/Excel/&#1056;&#1077;&#1077;&#1089;&#1090;&#1088;%20&#1089;%20&#1087;&#1088;&#1072;&#1074;&#1082;&#1072;&#1084;&#1080;%20ot_27_04_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valenko/AppData/Roaming/Microsoft/Excel/&#1055;&#1077;&#1088;&#1077;&#1095;&#1077;&#1085;&#1100;%20&#1087;&#1086;&#1083;&#1091;&#1095;&#1072;&#1090;&#1077;&#1083;&#1077;&#1081;%20&#1079;&#1072;%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Завоз семян"/>
      <sheetName val="Списки"/>
      <sheetName val="Инструкция"/>
      <sheetName val="ФЛК (обязательный)"/>
    </sheetNames>
    <sheetDataSet>
      <sheetData sheetId="0" refreshError="1"/>
      <sheetData sheetId="1">
        <row r="1">
          <cell r="A1" t="str">
            <v>СХО</v>
          </cell>
        </row>
        <row r="2">
          <cell r="A2" t="str">
            <v>организации АПК</v>
          </cell>
        </row>
        <row r="3">
          <cell r="A3" t="str">
            <v>СПоК</v>
          </cell>
        </row>
        <row r="4">
          <cell r="A4" t="str">
            <v>КФХ</v>
          </cell>
        </row>
        <row r="5">
          <cell r="A5" t="str">
            <v>ИП</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sheetData sheetId="1">
        <row r="1">
          <cell r="A1" t="str">
            <v>СХО</v>
          </cell>
        </row>
        <row r="2">
          <cell r="A2" t="str">
            <v>организации АПК</v>
          </cell>
        </row>
        <row r="3">
          <cell r="A3" t="str">
            <v>организации потребкооперации</v>
          </cell>
        </row>
        <row r="4">
          <cell r="A4" t="str">
            <v>ЛПХ</v>
          </cell>
        </row>
        <row r="5">
          <cell r="A5" t="str">
            <v>ИП</v>
          </cell>
        </row>
        <row r="6">
          <cell r="A6" t="str">
            <v>КФХ</v>
          </cell>
        </row>
        <row r="7">
          <cell r="A7" t="str">
            <v>СПоК</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без прочего на жив"/>
      <sheetName val="реестр Красноярский кр-й"/>
      <sheetName val="Лист2"/>
      <sheetName val="Лист3"/>
    </sheetNames>
    <sheetDataSet>
      <sheetData sheetId="0"/>
      <sheetData sheetId="1"/>
      <sheetData sheetId="2">
        <row r="1">
          <cell r="A1" t="str">
            <v>СХО</v>
          </cell>
        </row>
        <row r="2">
          <cell r="A2" t="str">
            <v>организации АПК</v>
          </cell>
        </row>
        <row r="3">
          <cell r="A3" t="str">
            <v>ЛПХ</v>
          </cell>
        </row>
        <row r="4">
          <cell r="A4" t="str">
            <v>ИП</v>
          </cell>
        </row>
        <row r="5">
          <cell r="A5" t="str">
            <v>КФХ</v>
          </cell>
        </row>
        <row r="6">
          <cell r="A6" t="str">
            <v>СПоК</v>
          </cell>
        </row>
      </sheetData>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K923"/>
  <sheetViews>
    <sheetView tabSelected="1" view="pageBreakPreview" zoomScale="70" zoomScaleNormal="55" zoomScaleSheetLayoutView="70" workbookViewId="0">
      <pane xSplit="4" ySplit="5" topLeftCell="E54" activePane="bottomRight" state="frozen"/>
      <selection pane="topRight" activeCell="I1" sqref="I1"/>
      <selection pane="bottomLeft" activeCell="A8" sqref="A8"/>
      <selection pane="bottomRight" activeCell="F60" sqref="F60"/>
    </sheetView>
  </sheetViews>
  <sheetFormatPr defaultColWidth="9.28515625" defaultRowHeight="20.25" outlineLevelRow="1" x14ac:dyDescent="0.3"/>
  <cols>
    <col min="1" max="1" width="25.85546875" style="1" customWidth="1"/>
    <col min="2" max="2" width="41.42578125" style="5" customWidth="1"/>
    <col min="3" max="3" width="19.28515625" style="2" customWidth="1"/>
    <col min="4" max="4" width="21.28515625" style="47" customWidth="1"/>
    <col min="5" max="5" width="26.7109375" style="57" customWidth="1"/>
    <col min="6" max="6" width="26.28515625" style="3" customWidth="1"/>
    <col min="7" max="7" width="26.42578125" style="3" customWidth="1"/>
    <col min="8" max="9" width="21.85546875" style="3" customWidth="1"/>
    <col min="10" max="11" width="29.5703125" style="3" customWidth="1"/>
    <col min="12" max="12" width="21.7109375" style="77" customWidth="1"/>
    <col min="13" max="13" width="21.7109375" style="20" customWidth="1"/>
    <col min="14" max="14" width="49.85546875" style="20" customWidth="1"/>
    <col min="15" max="15" width="25.42578125" style="3" customWidth="1"/>
    <col min="16" max="16" width="26.85546875" style="20" customWidth="1"/>
    <col min="17" max="18" width="21.85546875" style="3" customWidth="1"/>
    <col min="19" max="19" width="30.28515625" style="3" customWidth="1"/>
    <col min="20" max="21" width="21.85546875" style="20" customWidth="1"/>
    <col min="22" max="22" width="31.5703125" style="3" customWidth="1"/>
    <col min="23" max="23" width="26.85546875" style="3" customWidth="1"/>
    <col min="24" max="24" width="24.7109375" style="3" customWidth="1"/>
    <col min="25" max="25" width="21.85546875" style="3" customWidth="1"/>
    <col min="26" max="26" width="21.85546875" style="20" customWidth="1"/>
    <col min="27" max="27" width="26.85546875" style="3" customWidth="1"/>
    <col min="28" max="29" width="23.5703125" style="3" customWidth="1"/>
    <col min="30" max="30" width="26.85546875" style="3" customWidth="1"/>
    <col min="31" max="31" width="25.140625" style="3" customWidth="1"/>
    <col min="32" max="32" width="26.85546875" style="20" customWidth="1"/>
    <col min="33" max="33" width="29.42578125" style="3" customWidth="1"/>
    <col min="34" max="34" width="24.7109375" style="3" customWidth="1"/>
    <col min="35" max="35" width="25.85546875" style="3" customWidth="1"/>
    <col min="36" max="36" width="27.5703125" style="4" customWidth="1"/>
    <col min="37" max="40" width="21.85546875" style="4" customWidth="1"/>
    <col min="41" max="41" width="25.85546875" style="3" customWidth="1"/>
    <col min="42" max="45" width="21.85546875" style="4" customWidth="1"/>
    <col min="46" max="46" width="29.140625" style="4" customWidth="1"/>
    <col min="47" max="48" width="21.85546875" style="4" customWidth="1"/>
    <col min="49" max="50" width="21.85546875" style="3" customWidth="1"/>
    <col min="51" max="51" width="33" style="3" customWidth="1"/>
    <col min="52" max="52" width="34" style="3" customWidth="1"/>
    <col min="53" max="53" width="28.28515625" style="20" customWidth="1"/>
    <col min="54" max="55" width="21.7109375" style="20" customWidth="1"/>
    <col min="56" max="56" width="27.5703125" style="20" customWidth="1"/>
    <col min="57" max="59" width="28.7109375" style="3" customWidth="1"/>
    <col min="60" max="60" width="46.140625" style="3" customWidth="1"/>
    <col min="61" max="61" width="34.42578125" style="3" customWidth="1"/>
    <col min="62" max="63" width="21.85546875" style="4" customWidth="1"/>
    <col min="64" max="64" width="29.140625" style="4" customWidth="1"/>
    <col min="65" max="65" width="47" style="39" customWidth="1"/>
    <col min="66" max="66" width="34" style="4" customWidth="1"/>
    <col min="67" max="67" width="31.140625" style="4" customWidth="1"/>
    <col min="68" max="69" width="27.28515625" style="4" customWidth="1"/>
    <col min="70" max="222" width="9.28515625" style="39"/>
    <col min="223" max="223" width="26.28515625" style="39" customWidth="1"/>
    <col min="224" max="224" width="45.42578125" style="39" customWidth="1"/>
    <col min="225" max="225" width="14.85546875" style="39" customWidth="1"/>
    <col min="226" max="229" width="9.28515625" style="39" customWidth="1"/>
    <col min="230" max="230" width="0.140625" style="39" customWidth="1"/>
    <col min="231" max="231" width="29.42578125" style="39" customWidth="1"/>
    <col min="232" max="232" width="24.42578125" style="39" customWidth="1"/>
    <col min="233" max="233" width="26.7109375" style="39" customWidth="1"/>
    <col min="234" max="234" width="24.85546875" style="39" customWidth="1"/>
    <col min="235" max="235" width="21.28515625" style="39" customWidth="1"/>
    <col min="236" max="239" width="21.5703125" style="39" customWidth="1"/>
    <col min="240" max="240" width="28.28515625" style="39" customWidth="1"/>
    <col min="241" max="241" width="33" style="39" customWidth="1"/>
    <col min="242" max="242" width="22.85546875" style="39" customWidth="1"/>
    <col min="243" max="243" width="22" style="39" customWidth="1"/>
    <col min="244" max="244" width="24.7109375" style="39" customWidth="1"/>
    <col min="245" max="245" width="28.7109375" style="39" customWidth="1"/>
    <col min="246" max="246" width="23.5703125" style="39" customWidth="1"/>
    <col min="247" max="247" width="24.28515625" style="39" customWidth="1"/>
    <col min="248" max="248" width="23.5703125" style="39" customWidth="1"/>
    <col min="249" max="253" width="24.28515625" style="39" customWidth="1"/>
    <col min="254" max="254" width="22.7109375" style="39" customWidth="1"/>
    <col min="255" max="255" width="21.5703125" style="39" customWidth="1"/>
    <col min="256" max="256" width="21.42578125" style="39" customWidth="1"/>
    <col min="257" max="257" width="22.28515625" style="39" customWidth="1"/>
    <col min="258" max="258" width="22.5703125" style="39" customWidth="1"/>
    <col min="259" max="259" width="23.28515625" style="39" customWidth="1"/>
    <col min="260" max="261" width="20.5703125" style="39" customWidth="1"/>
    <col min="262" max="262" width="21.28515625" style="39" customWidth="1"/>
    <col min="263" max="263" width="21.42578125" style="39" customWidth="1"/>
    <col min="264" max="264" width="22" style="39" customWidth="1"/>
    <col min="265" max="266" width="21.5703125" style="39" customWidth="1"/>
    <col min="267" max="267" width="22.28515625" style="39" customWidth="1"/>
    <col min="268" max="268" width="25.42578125" style="39" customWidth="1"/>
    <col min="269" max="269" width="25.28515625" style="39" customWidth="1"/>
    <col min="270" max="270" width="28.7109375" style="39" customWidth="1"/>
    <col min="271" max="271" width="22.140625" style="4" customWidth="1"/>
    <col min="272" max="272" width="22" style="4" customWidth="1"/>
    <col min="273" max="273" width="24.5703125" style="4" customWidth="1"/>
    <col min="274" max="274" width="19.7109375" style="4" customWidth="1"/>
    <col min="275" max="275" width="29.140625" style="4" customWidth="1"/>
    <col min="276" max="276" width="25.140625" style="4" customWidth="1"/>
    <col min="277" max="278" width="29.42578125" style="4" customWidth="1"/>
    <col min="279" max="280" width="23.7109375" style="4" customWidth="1"/>
    <col min="281" max="281" width="26.7109375" style="4" customWidth="1"/>
    <col min="282" max="282" width="29.85546875" style="4" customWidth="1"/>
    <col min="283" max="285" width="23.28515625" style="4" customWidth="1"/>
    <col min="286" max="286" width="23.85546875" style="4" customWidth="1"/>
    <col min="287" max="287" width="26.7109375" style="4" customWidth="1"/>
    <col min="288" max="288" width="24.5703125" style="4" customWidth="1"/>
    <col min="289" max="289" width="26.85546875" style="4" customWidth="1"/>
    <col min="290" max="291" width="23.5703125" style="4" customWidth="1"/>
    <col min="292" max="292" width="28.7109375" style="4" customWidth="1"/>
    <col min="293" max="293" width="34.42578125" style="4" customWidth="1"/>
    <col min="294" max="294" width="29.7109375" style="4" customWidth="1"/>
    <col min="295" max="295" width="22" style="4" customWidth="1"/>
    <col min="296" max="296" width="23.7109375" style="4" customWidth="1"/>
    <col min="297" max="297" width="23.5703125" style="4" customWidth="1"/>
    <col min="298" max="301" width="22.140625" style="4" customWidth="1"/>
    <col min="302" max="302" width="25.28515625" style="4" customWidth="1"/>
    <col min="303" max="303" width="45.42578125" style="4" customWidth="1"/>
    <col min="304" max="304" width="24.7109375" style="4" customWidth="1"/>
    <col min="305" max="305" width="26.42578125" style="4" customWidth="1"/>
    <col min="306" max="306" width="29.28515625" style="4" customWidth="1"/>
    <col min="307" max="309" width="27.28515625" style="4" customWidth="1"/>
    <col min="310" max="310" width="31.7109375" style="4" customWidth="1"/>
    <col min="311" max="311" width="27.7109375" style="4" customWidth="1"/>
    <col min="312" max="314" width="28.28515625" style="4" customWidth="1"/>
    <col min="315" max="315" width="24.7109375" style="4" customWidth="1"/>
    <col min="316" max="316" width="24.140625" style="4" customWidth="1"/>
    <col min="317" max="319" width="22.28515625" style="4" customWidth="1"/>
    <col min="320" max="320" width="22.42578125" style="4" customWidth="1"/>
    <col min="321" max="321" width="23.7109375" style="4" customWidth="1"/>
    <col min="322" max="324" width="9.28515625" style="4" customWidth="1"/>
    <col min="325" max="478" width="9.28515625" style="4"/>
    <col min="479" max="479" width="26.28515625" style="4" customWidth="1"/>
    <col min="480" max="480" width="45.42578125" style="4" customWidth="1"/>
    <col min="481" max="481" width="14.85546875" style="4" customWidth="1"/>
    <col min="482" max="485" width="9.28515625" style="4" customWidth="1"/>
    <col min="486" max="486" width="0.140625" style="4" customWidth="1"/>
    <col min="487" max="487" width="29.42578125" style="4" customWidth="1"/>
    <col min="488" max="488" width="24.42578125" style="4" customWidth="1"/>
    <col min="489" max="489" width="26.7109375" style="4" customWidth="1"/>
    <col min="490" max="490" width="24.85546875" style="4" customWidth="1"/>
    <col min="491" max="491" width="21.28515625" style="4" customWidth="1"/>
    <col min="492" max="495" width="21.5703125" style="4" customWidth="1"/>
    <col min="496" max="496" width="28.28515625" style="4" customWidth="1"/>
    <col min="497" max="497" width="33" style="4" customWidth="1"/>
    <col min="498" max="498" width="22.85546875" style="4" customWidth="1"/>
    <col min="499" max="499" width="22" style="4" customWidth="1"/>
    <col min="500" max="500" width="24.7109375" style="4" customWidth="1"/>
    <col min="501" max="501" width="28.7109375" style="4" customWidth="1"/>
    <col min="502" max="502" width="23.5703125" style="4" customWidth="1"/>
    <col min="503" max="503" width="24.28515625" style="4" customWidth="1"/>
    <col min="504" max="504" width="23.5703125" style="4" customWidth="1"/>
    <col min="505" max="509" width="24.28515625" style="4" customWidth="1"/>
    <col min="510" max="510" width="22.7109375" style="4" customWidth="1"/>
    <col min="511" max="511" width="21.5703125" style="4" customWidth="1"/>
    <col min="512" max="512" width="21.42578125" style="4" customWidth="1"/>
    <col min="513" max="513" width="22.28515625" style="4" customWidth="1"/>
    <col min="514" max="514" width="22.5703125" style="4" customWidth="1"/>
    <col min="515" max="515" width="23.28515625" style="4" customWidth="1"/>
    <col min="516" max="517" width="20.5703125" style="4" customWidth="1"/>
    <col min="518" max="518" width="21.28515625" style="4" customWidth="1"/>
    <col min="519" max="519" width="21.42578125" style="4" customWidth="1"/>
    <col min="520" max="520" width="22" style="4" customWidth="1"/>
    <col min="521" max="522" width="21.5703125" style="4" customWidth="1"/>
    <col min="523" max="523" width="22.28515625" style="4" customWidth="1"/>
    <col min="524" max="524" width="25.42578125" style="4" customWidth="1"/>
    <col min="525" max="525" width="25.28515625" style="4" customWidth="1"/>
    <col min="526" max="526" width="28.7109375" style="4" customWidth="1"/>
    <col min="527" max="527" width="22.140625" style="4" customWidth="1"/>
    <col min="528" max="528" width="22" style="4" customWidth="1"/>
    <col min="529" max="529" width="24.5703125" style="4" customWidth="1"/>
    <col min="530" max="530" width="19.7109375" style="4" customWidth="1"/>
    <col min="531" max="531" width="29.140625" style="4" customWidth="1"/>
    <col min="532" max="532" width="25.140625" style="4" customWidth="1"/>
    <col min="533" max="534" width="29.42578125" style="4" customWidth="1"/>
    <col min="535" max="536" width="23.7109375" style="4" customWidth="1"/>
    <col min="537" max="537" width="26.7109375" style="4" customWidth="1"/>
    <col min="538" max="538" width="29.85546875" style="4" customWidth="1"/>
    <col min="539" max="541" width="23.28515625" style="4" customWidth="1"/>
    <col min="542" max="542" width="23.85546875" style="4" customWidth="1"/>
    <col min="543" max="543" width="26.7109375" style="4" customWidth="1"/>
    <col min="544" max="544" width="24.5703125" style="4" customWidth="1"/>
    <col min="545" max="545" width="26.85546875" style="4" customWidth="1"/>
    <col min="546" max="547" width="23.5703125" style="4" customWidth="1"/>
    <col min="548" max="548" width="28.7109375" style="4" customWidth="1"/>
    <col min="549" max="549" width="34.42578125" style="4" customWidth="1"/>
    <col min="550" max="550" width="29.7109375" style="4" customWidth="1"/>
    <col min="551" max="551" width="22" style="4" customWidth="1"/>
    <col min="552" max="552" width="23.7109375" style="4" customWidth="1"/>
    <col min="553" max="553" width="23.5703125" style="4" customWidth="1"/>
    <col min="554" max="557" width="22.140625" style="4" customWidth="1"/>
    <col min="558" max="558" width="25.28515625" style="4" customWidth="1"/>
    <col min="559" max="559" width="45.42578125" style="4" customWidth="1"/>
    <col min="560" max="560" width="24.7109375" style="4" customWidth="1"/>
    <col min="561" max="561" width="26.42578125" style="4" customWidth="1"/>
    <col min="562" max="562" width="29.28515625" style="4" customWidth="1"/>
    <col min="563" max="565" width="27.28515625" style="4" customWidth="1"/>
    <col min="566" max="566" width="31.7109375" style="4" customWidth="1"/>
    <col min="567" max="567" width="27.7109375" style="4" customWidth="1"/>
    <col min="568" max="570" width="28.28515625" style="4" customWidth="1"/>
    <col min="571" max="571" width="24.7109375" style="4" customWidth="1"/>
    <col min="572" max="572" width="24.140625" style="4" customWidth="1"/>
    <col min="573" max="575" width="22.28515625" style="4" customWidth="1"/>
    <col min="576" max="576" width="22.42578125" style="4" customWidth="1"/>
    <col min="577" max="577" width="23.7109375" style="4" customWidth="1"/>
    <col min="578" max="580" width="9.28515625" style="4" customWidth="1"/>
    <col min="581" max="734" width="9.28515625" style="4"/>
    <col min="735" max="735" width="26.28515625" style="4" customWidth="1"/>
    <col min="736" max="736" width="45.42578125" style="4" customWidth="1"/>
    <col min="737" max="737" width="14.85546875" style="4" customWidth="1"/>
    <col min="738" max="741" width="9.28515625" style="4" customWidth="1"/>
    <col min="742" max="742" width="0.140625" style="4" customWidth="1"/>
    <col min="743" max="743" width="29.42578125" style="4" customWidth="1"/>
    <col min="744" max="744" width="24.42578125" style="4" customWidth="1"/>
    <col min="745" max="745" width="26.7109375" style="4" customWidth="1"/>
    <col min="746" max="746" width="24.85546875" style="4" customWidth="1"/>
    <col min="747" max="747" width="21.28515625" style="4" customWidth="1"/>
    <col min="748" max="751" width="21.5703125" style="4" customWidth="1"/>
    <col min="752" max="752" width="28.28515625" style="4" customWidth="1"/>
    <col min="753" max="753" width="33" style="4" customWidth="1"/>
    <col min="754" max="754" width="22.85546875" style="4" customWidth="1"/>
    <col min="755" max="755" width="22" style="4" customWidth="1"/>
    <col min="756" max="756" width="24.7109375" style="4" customWidth="1"/>
    <col min="757" max="757" width="28.7109375" style="4" customWidth="1"/>
    <col min="758" max="758" width="23.5703125" style="4" customWidth="1"/>
    <col min="759" max="759" width="24.28515625" style="4" customWidth="1"/>
    <col min="760" max="760" width="23.5703125" style="4" customWidth="1"/>
    <col min="761" max="765" width="24.28515625" style="4" customWidth="1"/>
    <col min="766" max="766" width="22.7109375" style="4" customWidth="1"/>
    <col min="767" max="767" width="21.5703125" style="4" customWidth="1"/>
    <col min="768" max="768" width="21.42578125" style="4" customWidth="1"/>
    <col min="769" max="769" width="22.28515625" style="4" customWidth="1"/>
    <col min="770" max="770" width="22.5703125" style="4" customWidth="1"/>
    <col min="771" max="771" width="23.28515625" style="4" customWidth="1"/>
    <col min="772" max="773" width="20.5703125" style="4" customWidth="1"/>
    <col min="774" max="774" width="21.28515625" style="4" customWidth="1"/>
    <col min="775" max="775" width="21.42578125" style="4" customWidth="1"/>
    <col min="776" max="776" width="22" style="4" customWidth="1"/>
    <col min="777" max="778" width="21.5703125" style="4" customWidth="1"/>
    <col min="779" max="779" width="22.28515625" style="4" customWidth="1"/>
    <col min="780" max="780" width="25.42578125" style="4" customWidth="1"/>
    <col min="781" max="781" width="25.28515625" style="4" customWidth="1"/>
    <col min="782" max="782" width="28.7109375" style="4" customWidth="1"/>
    <col min="783" max="783" width="22.140625" style="4" customWidth="1"/>
    <col min="784" max="784" width="22" style="4" customWidth="1"/>
    <col min="785" max="785" width="24.5703125" style="4" customWidth="1"/>
    <col min="786" max="786" width="19.7109375" style="4" customWidth="1"/>
    <col min="787" max="787" width="29.140625" style="4" customWidth="1"/>
    <col min="788" max="788" width="25.140625" style="4" customWidth="1"/>
    <col min="789" max="790" width="29.42578125" style="4" customWidth="1"/>
    <col min="791" max="792" width="23.7109375" style="4" customWidth="1"/>
    <col min="793" max="793" width="26.7109375" style="4" customWidth="1"/>
    <col min="794" max="794" width="29.85546875" style="4" customWidth="1"/>
    <col min="795" max="797" width="23.28515625" style="4" customWidth="1"/>
    <col min="798" max="798" width="23.85546875" style="4" customWidth="1"/>
    <col min="799" max="799" width="26.7109375" style="4" customWidth="1"/>
    <col min="800" max="800" width="24.5703125" style="4" customWidth="1"/>
    <col min="801" max="801" width="26.85546875" style="4" customWidth="1"/>
    <col min="802" max="803" width="23.5703125" style="4" customWidth="1"/>
    <col min="804" max="804" width="28.7109375" style="4" customWidth="1"/>
    <col min="805" max="805" width="34.42578125" style="4" customWidth="1"/>
    <col min="806" max="806" width="29.7109375" style="4" customWidth="1"/>
    <col min="807" max="807" width="22" style="4" customWidth="1"/>
    <col min="808" max="808" width="23.7109375" style="4" customWidth="1"/>
    <col min="809" max="809" width="23.5703125" style="4" customWidth="1"/>
    <col min="810" max="813" width="22.140625" style="4" customWidth="1"/>
    <col min="814" max="814" width="25.28515625" style="4" customWidth="1"/>
    <col min="815" max="815" width="45.42578125" style="4" customWidth="1"/>
    <col min="816" max="816" width="24.7109375" style="4" customWidth="1"/>
    <col min="817" max="817" width="26.42578125" style="4" customWidth="1"/>
    <col min="818" max="818" width="29.28515625" style="4" customWidth="1"/>
    <col min="819" max="821" width="27.28515625" style="4" customWidth="1"/>
    <col min="822" max="822" width="31.7109375" style="4" customWidth="1"/>
    <col min="823" max="823" width="27.7109375" style="4" customWidth="1"/>
    <col min="824" max="826" width="28.28515625" style="4" customWidth="1"/>
    <col min="827" max="827" width="24.7109375" style="4" customWidth="1"/>
    <col min="828" max="828" width="24.140625" style="4" customWidth="1"/>
    <col min="829" max="831" width="22.28515625" style="4" customWidth="1"/>
    <col min="832" max="832" width="22.42578125" style="4" customWidth="1"/>
    <col min="833" max="833" width="23.7109375" style="4" customWidth="1"/>
    <col min="834" max="836" width="9.28515625" style="4" customWidth="1"/>
    <col min="837" max="990" width="9.28515625" style="4"/>
    <col min="991" max="991" width="26.28515625" style="4" customWidth="1"/>
    <col min="992" max="992" width="45.42578125" style="4" customWidth="1"/>
    <col min="993" max="993" width="14.85546875" style="4" customWidth="1"/>
    <col min="994" max="997" width="9.28515625" style="4" customWidth="1"/>
    <col min="998" max="998" width="0.140625" style="4" customWidth="1"/>
    <col min="999" max="999" width="29.42578125" style="4" customWidth="1"/>
    <col min="1000" max="1000" width="24.42578125" style="4" customWidth="1"/>
    <col min="1001" max="1001" width="26.7109375" style="4" customWidth="1"/>
    <col min="1002" max="1002" width="24.85546875" style="4" customWidth="1"/>
    <col min="1003" max="1003" width="21.28515625" style="4" customWidth="1"/>
    <col min="1004" max="1007" width="21.5703125" style="4" customWidth="1"/>
    <col min="1008" max="1008" width="28.28515625" style="4" customWidth="1"/>
    <col min="1009" max="1009" width="33" style="4" customWidth="1"/>
    <col min="1010" max="1010" width="22.85546875" style="4" customWidth="1"/>
    <col min="1011" max="1011" width="22" style="4" customWidth="1"/>
    <col min="1012" max="1012" width="24.7109375" style="4" customWidth="1"/>
    <col min="1013" max="1013" width="28.7109375" style="4" customWidth="1"/>
    <col min="1014" max="1014" width="23.5703125" style="4" customWidth="1"/>
    <col min="1015" max="1015" width="24.28515625" style="4" customWidth="1"/>
    <col min="1016" max="1016" width="23.5703125" style="4" customWidth="1"/>
    <col min="1017" max="1021" width="24.28515625" style="4" customWidth="1"/>
    <col min="1022" max="1022" width="22.7109375" style="4" customWidth="1"/>
    <col min="1023" max="1023" width="21.5703125" style="4" customWidth="1"/>
    <col min="1024" max="1024" width="21.42578125" style="4" customWidth="1"/>
    <col min="1025" max="1025" width="22.28515625" style="4" customWidth="1"/>
    <col min="1026" max="1026" width="22.5703125" style="4" customWidth="1"/>
    <col min="1027" max="1027" width="23.28515625" style="4" customWidth="1"/>
    <col min="1028" max="1029" width="20.5703125" style="4" customWidth="1"/>
    <col min="1030" max="1030" width="21.28515625" style="4" customWidth="1"/>
    <col min="1031" max="1031" width="21.42578125" style="4" customWidth="1"/>
    <col min="1032" max="1032" width="22" style="4" customWidth="1"/>
    <col min="1033" max="1034" width="21.5703125" style="4" customWidth="1"/>
    <col min="1035" max="1035" width="22.28515625" style="4" customWidth="1"/>
    <col min="1036" max="1036" width="25.42578125" style="4" customWidth="1"/>
    <col min="1037" max="1037" width="25.28515625" style="4" customWidth="1"/>
    <col min="1038" max="1038" width="28.7109375" style="4" customWidth="1"/>
    <col min="1039" max="1039" width="22.140625" style="4" customWidth="1"/>
    <col min="1040" max="1040" width="22" style="4" customWidth="1"/>
    <col min="1041" max="1041" width="24.5703125" style="4" customWidth="1"/>
    <col min="1042" max="1042" width="19.7109375" style="4" customWidth="1"/>
    <col min="1043" max="1043" width="29.140625" style="4" customWidth="1"/>
    <col min="1044" max="1044" width="25.140625" style="4" customWidth="1"/>
    <col min="1045" max="1046" width="29.42578125" style="4" customWidth="1"/>
    <col min="1047" max="1048" width="23.7109375" style="4" customWidth="1"/>
    <col min="1049" max="1049" width="26.7109375" style="4" customWidth="1"/>
    <col min="1050" max="1050" width="29.85546875" style="4" customWidth="1"/>
    <col min="1051" max="1053" width="23.28515625" style="4" customWidth="1"/>
    <col min="1054" max="1054" width="23.85546875" style="4" customWidth="1"/>
    <col min="1055" max="1055" width="26.7109375" style="4" customWidth="1"/>
    <col min="1056" max="1056" width="24.5703125" style="4" customWidth="1"/>
    <col min="1057" max="1057" width="26.85546875" style="4" customWidth="1"/>
    <col min="1058" max="1059" width="23.5703125" style="4" customWidth="1"/>
    <col min="1060" max="1060" width="28.7109375" style="4" customWidth="1"/>
    <col min="1061" max="1061" width="34.42578125" style="4" customWidth="1"/>
    <col min="1062" max="1062" width="29.7109375" style="4" customWidth="1"/>
    <col min="1063" max="1063" width="22" style="4" customWidth="1"/>
    <col min="1064" max="1064" width="23.7109375" style="4" customWidth="1"/>
    <col min="1065" max="1065" width="23.5703125" style="4" customWidth="1"/>
    <col min="1066" max="1069" width="22.140625" style="4" customWidth="1"/>
    <col min="1070" max="1070" width="25.28515625" style="4" customWidth="1"/>
    <col min="1071" max="1071" width="45.42578125" style="4" customWidth="1"/>
    <col min="1072" max="1072" width="24.7109375" style="4" customWidth="1"/>
    <col min="1073" max="1073" width="26.42578125" style="4" customWidth="1"/>
    <col min="1074" max="1074" width="29.28515625" style="4" customWidth="1"/>
    <col min="1075" max="1077" width="27.28515625" style="4" customWidth="1"/>
    <col min="1078" max="1078" width="31.7109375" style="4" customWidth="1"/>
    <col min="1079" max="1079" width="27.7109375" style="4" customWidth="1"/>
    <col min="1080" max="1082" width="28.28515625" style="4" customWidth="1"/>
    <col min="1083" max="1083" width="24.7109375" style="4" customWidth="1"/>
    <col min="1084" max="1084" width="24.140625" style="4" customWidth="1"/>
    <col min="1085" max="1087" width="22.28515625" style="4" customWidth="1"/>
    <col min="1088" max="1088" width="22.42578125" style="4" customWidth="1"/>
    <col min="1089" max="1089" width="23.7109375" style="4" customWidth="1"/>
    <col min="1090" max="1092" width="9.28515625" style="4" customWidth="1"/>
    <col min="1093" max="1246" width="9.28515625" style="4"/>
    <col min="1247" max="1247" width="26.28515625" style="4" customWidth="1"/>
    <col min="1248" max="1248" width="45.42578125" style="4" customWidth="1"/>
    <col min="1249" max="1249" width="14.85546875" style="4" customWidth="1"/>
    <col min="1250" max="1253" width="9.28515625" style="4" customWidth="1"/>
    <col min="1254" max="1254" width="0.140625" style="4" customWidth="1"/>
    <col min="1255" max="1255" width="29.42578125" style="4" customWidth="1"/>
    <col min="1256" max="1256" width="24.42578125" style="4" customWidth="1"/>
    <col min="1257" max="1257" width="26.7109375" style="4" customWidth="1"/>
    <col min="1258" max="1258" width="24.85546875" style="4" customWidth="1"/>
    <col min="1259" max="1259" width="21.28515625" style="4" customWidth="1"/>
    <col min="1260" max="1263" width="21.5703125" style="4" customWidth="1"/>
    <col min="1264" max="1264" width="28.28515625" style="4" customWidth="1"/>
    <col min="1265" max="1265" width="33" style="4" customWidth="1"/>
    <col min="1266" max="1266" width="22.85546875" style="4" customWidth="1"/>
    <col min="1267" max="1267" width="22" style="4" customWidth="1"/>
    <col min="1268" max="1268" width="24.7109375" style="4" customWidth="1"/>
    <col min="1269" max="1269" width="28.7109375" style="4" customWidth="1"/>
    <col min="1270" max="1270" width="23.5703125" style="4" customWidth="1"/>
    <col min="1271" max="1271" width="24.28515625" style="4" customWidth="1"/>
    <col min="1272" max="1272" width="23.5703125" style="4" customWidth="1"/>
    <col min="1273" max="1277" width="24.28515625" style="4" customWidth="1"/>
    <col min="1278" max="1278" width="22.7109375" style="4" customWidth="1"/>
    <col min="1279" max="1279" width="21.5703125" style="4" customWidth="1"/>
    <col min="1280" max="1280" width="21.42578125" style="4" customWidth="1"/>
    <col min="1281" max="1281" width="22.28515625" style="4" customWidth="1"/>
    <col min="1282" max="1282" width="22.5703125" style="4" customWidth="1"/>
    <col min="1283" max="1283" width="23.28515625" style="4" customWidth="1"/>
    <col min="1284" max="1285" width="20.5703125" style="4" customWidth="1"/>
    <col min="1286" max="1286" width="21.28515625" style="4" customWidth="1"/>
    <col min="1287" max="1287" width="21.42578125" style="4" customWidth="1"/>
    <col min="1288" max="1288" width="22" style="4" customWidth="1"/>
    <col min="1289" max="1290" width="21.5703125" style="4" customWidth="1"/>
    <col min="1291" max="1291" width="22.28515625" style="4" customWidth="1"/>
    <col min="1292" max="1292" width="25.42578125" style="4" customWidth="1"/>
    <col min="1293" max="1293" width="25.28515625" style="4" customWidth="1"/>
    <col min="1294" max="1294" width="28.7109375" style="4" customWidth="1"/>
    <col min="1295" max="1295" width="22.140625" style="4" customWidth="1"/>
    <col min="1296" max="1296" width="22" style="4" customWidth="1"/>
    <col min="1297" max="1297" width="24.5703125" style="4" customWidth="1"/>
    <col min="1298" max="1298" width="19.7109375" style="4" customWidth="1"/>
    <col min="1299" max="1299" width="29.140625" style="4" customWidth="1"/>
    <col min="1300" max="1300" width="25.140625" style="4" customWidth="1"/>
    <col min="1301" max="1302" width="29.42578125" style="4" customWidth="1"/>
    <col min="1303" max="1304" width="23.7109375" style="4" customWidth="1"/>
    <col min="1305" max="1305" width="26.7109375" style="4" customWidth="1"/>
    <col min="1306" max="1306" width="29.85546875" style="4" customWidth="1"/>
    <col min="1307" max="1309" width="23.28515625" style="4" customWidth="1"/>
    <col min="1310" max="1310" width="23.85546875" style="4" customWidth="1"/>
    <col min="1311" max="1311" width="26.7109375" style="4" customWidth="1"/>
    <col min="1312" max="1312" width="24.5703125" style="4" customWidth="1"/>
    <col min="1313" max="1313" width="26.85546875" style="4" customWidth="1"/>
    <col min="1314" max="1315" width="23.5703125" style="4" customWidth="1"/>
    <col min="1316" max="1316" width="28.7109375" style="4" customWidth="1"/>
    <col min="1317" max="1317" width="34.42578125" style="4" customWidth="1"/>
    <col min="1318" max="1318" width="29.7109375" style="4" customWidth="1"/>
    <col min="1319" max="1319" width="22" style="4" customWidth="1"/>
    <col min="1320" max="1320" width="23.7109375" style="4" customWidth="1"/>
    <col min="1321" max="1321" width="23.5703125" style="4" customWidth="1"/>
    <col min="1322" max="1325" width="22.140625" style="4" customWidth="1"/>
    <col min="1326" max="1326" width="25.28515625" style="4" customWidth="1"/>
    <col min="1327" max="1327" width="45.42578125" style="4" customWidth="1"/>
    <col min="1328" max="1328" width="24.7109375" style="4" customWidth="1"/>
    <col min="1329" max="1329" width="26.42578125" style="4" customWidth="1"/>
    <col min="1330" max="1330" width="29.28515625" style="4" customWidth="1"/>
    <col min="1331" max="1333" width="27.28515625" style="4" customWidth="1"/>
    <col min="1334" max="1334" width="31.7109375" style="4" customWidth="1"/>
    <col min="1335" max="1335" width="27.7109375" style="4" customWidth="1"/>
    <col min="1336" max="1338" width="28.28515625" style="4" customWidth="1"/>
    <col min="1339" max="1339" width="24.7109375" style="4" customWidth="1"/>
    <col min="1340" max="1340" width="24.140625" style="4" customWidth="1"/>
    <col min="1341" max="1343" width="22.28515625" style="4" customWidth="1"/>
    <col min="1344" max="1344" width="22.42578125" style="4" customWidth="1"/>
    <col min="1345" max="1345" width="23.7109375" style="4" customWidth="1"/>
    <col min="1346" max="1348" width="9.28515625" style="4" customWidth="1"/>
    <col min="1349" max="1502" width="9.28515625" style="4"/>
    <col min="1503" max="1503" width="26.28515625" style="4" customWidth="1"/>
    <col min="1504" max="1504" width="45.42578125" style="4" customWidth="1"/>
    <col min="1505" max="1505" width="14.85546875" style="4" customWidth="1"/>
    <col min="1506" max="1509" width="9.28515625" style="4" customWidth="1"/>
    <col min="1510" max="1510" width="0.140625" style="4" customWidth="1"/>
    <col min="1511" max="1511" width="29.42578125" style="4" customWidth="1"/>
    <col min="1512" max="1512" width="24.42578125" style="4" customWidth="1"/>
    <col min="1513" max="1513" width="26.7109375" style="4" customWidth="1"/>
    <col min="1514" max="1514" width="24.85546875" style="4" customWidth="1"/>
    <col min="1515" max="1515" width="21.28515625" style="4" customWidth="1"/>
    <col min="1516" max="1519" width="21.5703125" style="4" customWidth="1"/>
    <col min="1520" max="1520" width="28.28515625" style="4" customWidth="1"/>
    <col min="1521" max="1521" width="33" style="4" customWidth="1"/>
    <col min="1522" max="1522" width="22.85546875" style="4" customWidth="1"/>
    <col min="1523" max="1523" width="22" style="4" customWidth="1"/>
    <col min="1524" max="1524" width="24.7109375" style="4" customWidth="1"/>
    <col min="1525" max="1525" width="28.7109375" style="4" customWidth="1"/>
    <col min="1526" max="1526" width="23.5703125" style="4" customWidth="1"/>
    <col min="1527" max="1527" width="24.28515625" style="4" customWidth="1"/>
    <col min="1528" max="1528" width="23.5703125" style="4" customWidth="1"/>
    <col min="1529" max="1533" width="24.28515625" style="4" customWidth="1"/>
    <col min="1534" max="1534" width="22.7109375" style="4" customWidth="1"/>
    <col min="1535" max="1535" width="21.5703125" style="4" customWidth="1"/>
    <col min="1536" max="1536" width="21.42578125" style="4" customWidth="1"/>
    <col min="1537" max="1537" width="22.28515625" style="4" customWidth="1"/>
    <col min="1538" max="1538" width="22.5703125" style="4" customWidth="1"/>
    <col min="1539" max="1539" width="23.28515625" style="4" customWidth="1"/>
    <col min="1540" max="1541" width="20.5703125" style="4" customWidth="1"/>
    <col min="1542" max="1542" width="21.28515625" style="4" customWidth="1"/>
    <col min="1543" max="1543" width="21.42578125" style="4" customWidth="1"/>
    <col min="1544" max="1544" width="22" style="4" customWidth="1"/>
    <col min="1545" max="1546" width="21.5703125" style="4" customWidth="1"/>
    <col min="1547" max="1547" width="22.28515625" style="4" customWidth="1"/>
    <col min="1548" max="1548" width="25.42578125" style="4" customWidth="1"/>
    <col min="1549" max="1549" width="25.28515625" style="4" customWidth="1"/>
    <col min="1550" max="1550" width="28.7109375" style="4" customWidth="1"/>
    <col min="1551" max="1551" width="22.140625" style="4" customWidth="1"/>
    <col min="1552" max="1552" width="22" style="4" customWidth="1"/>
    <col min="1553" max="1553" width="24.5703125" style="4" customWidth="1"/>
    <col min="1554" max="1554" width="19.7109375" style="4" customWidth="1"/>
    <col min="1555" max="1555" width="29.140625" style="4" customWidth="1"/>
    <col min="1556" max="1556" width="25.140625" style="4" customWidth="1"/>
    <col min="1557" max="1558" width="29.42578125" style="4" customWidth="1"/>
    <col min="1559" max="1560" width="23.7109375" style="4" customWidth="1"/>
    <col min="1561" max="1561" width="26.7109375" style="4" customWidth="1"/>
    <col min="1562" max="1562" width="29.85546875" style="4" customWidth="1"/>
    <col min="1563" max="1565" width="23.28515625" style="4" customWidth="1"/>
    <col min="1566" max="1566" width="23.85546875" style="4" customWidth="1"/>
    <col min="1567" max="1567" width="26.7109375" style="4" customWidth="1"/>
    <col min="1568" max="1568" width="24.5703125" style="4" customWidth="1"/>
    <col min="1569" max="1569" width="26.85546875" style="4" customWidth="1"/>
    <col min="1570" max="1571" width="23.5703125" style="4" customWidth="1"/>
    <col min="1572" max="1572" width="28.7109375" style="4" customWidth="1"/>
    <col min="1573" max="1573" width="34.42578125" style="4" customWidth="1"/>
    <col min="1574" max="1574" width="29.7109375" style="4" customWidth="1"/>
    <col min="1575" max="1575" width="22" style="4" customWidth="1"/>
    <col min="1576" max="1576" width="23.7109375" style="4" customWidth="1"/>
    <col min="1577" max="1577" width="23.5703125" style="4" customWidth="1"/>
    <col min="1578" max="1581" width="22.140625" style="4" customWidth="1"/>
    <col min="1582" max="1582" width="25.28515625" style="4" customWidth="1"/>
    <col min="1583" max="1583" width="45.42578125" style="4" customWidth="1"/>
    <col min="1584" max="1584" width="24.7109375" style="4" customWidth="1"/>
    <col min="1585" max="1585" width="26.42578125" style="4" customWidth="1"/>
    <col min="1586" max="1586" width="29.28515625" style="4" customWidth="1"/>
    <col min="1587" max="1589" width="27.28515625" style="4" customWidth="1"/>
    <col min="1590" max="1590" width="31.7109375" style="4" customWidth="1"/>
    <col min="1591" max="1591" width="27.7109375" style="4" customWidth="1"/>
    <col min="1592" max="1594" width="28.28515625" style="4" customWidth="1"/>
    <col min="1595" max="1595" width="24.7109375" style="4" customWidth="1"/>
    <col min="1596" max="1596" width="24.140625" style="4" customWidth="1"/>
    <col min="1597" max="1599" width="22.28515625" style="4" customWidth="1"/>
    <col min="1600" max="1600" width="22.42578125" style="4" customWidth="1"/>
    <col min="1601" max="1601" width="23.7109375" style="4" customWidth="1"/>
    <col min="1602" max="1604" width="9.28515625" style="4" customWidth="1"/>
    <col min="1605" max="1758" width="9.28515625" style="4"/>
    <col min="1759" max="1759" width="26.28515625" style="4" customWidth="1"/>
    <col min="1760" max="1760" width="45.42578125" style="4" customWidth="1"/>
    <col min="1761" max="1761" width="14.85546875" style="4" customWidth="1"/>
    <col min="1762" max="1765" width="9.28515625" style="4" customWidth="1"/>
    <col min="1766" max="1766" width="0.140625" style="4" customWidth="1"/>
    <col min="1767" max="1767" width="29.42578125" style="4" customWidth="1"/>
    <col min="1768" max="1768" width="24.42578125" style="4" customWidth="1"/>
    <col min="1769" max="1769" width="26.7109375" style="4" customWidth="1"/>
    <col min="1770" max="1770" width="24.85546875" style="4" customWidth="1"/>
    <col min="1771" max="1771" width="21.28515625" style="4" customWidth="1"/>
    <col min="1772" max="1775" width="21.5703125" style="4" customWidth="1"/>
    <col min="1776" max="1776" width="28.28515625" style="4" customWidth="1"/>
    <col min="1777" max="1777" width="33" style="4" customWidth="1"/>
    <col min="1778" max="1778" width="22.85546875" style="4" customWidth="1"/>
    <col min="1779" max="1779" width="22" style="4" customWidth="1"/>
    <col min="1780" max="1780" width="24.7109375" style="4" customWidth="1"/>
    <col min="1781" max="1781" width="28.7109375" style="4" customWidth="1"/>
    <col min="1782" max="1782" width="23.5703125" style="4" customWidth="1"/>
    <col min="1783" max="1783" width="24.28515625" style="4" customWidth="1"/>
    <col min="1784" max="1784" width="23.5703125" style="4" customWidth="1"/>
    <col min="1785" max="1789" width="24.28515625" style="4" customWidth="1"/>
    <col min="1790" max="1790" width="22.7109375" style="4" customWidth="1"/>
    <col min="1791" max="1791" width="21.5703125" style="4" customWidth="1"/>
    <col min="1792" max="1792" width="21.42578125" style="4" customWidth="1"/>
    <col min="1793" max="1793" width="22.28515625" style="4" customWidth="1"/>
    <col min="1794" max="1794" width="22.5703125" style="4" customWidth="1"/>
    <col min="1795" max="1795" width="23.28515625" style="4" customWidth="1"/>
    <col min="1796" max="1797" width="20.5703125" style="4" customWidth="1"/>
    <col min="1798" max="1798" width="21.28515625" style="4" customWidth="1"/>
    <col min="1799" max="1799" width="21.42578125" style="4" customWidth="1"/>
    <col min="1800" max="1800" width="22" style="4" customWidth="1"/>
    <col min="1801" max="1802" width="21.5703125" style="4" customWidth="1"/>
    <col min="1803" max="1803" width="22.28515625" style="4" customWidth="1"/>
    <col min="1804" max="1804" width="25.42578125" style="4" customWidth="1"/>
    <col min="1805" max="1805" width="25.28515625" style="4" customWidth="1"/>
    <col min="1806" max="1806" width="28.7109375" style="4" customWidth="1"/>
    <col min="1807" max="1807" width="22.140625" style="4" customWidth="1"/>
    <col min="1808" max="1808" width="22" style="4" customWidth="1"/>
    <col min="1809" max="1809" width="24.5703125" style="4" customWidth="1"/>
    <col min="1810" max="1810" width="19.7109375" style="4" customWidth="1"/>
    <col min="1811" max="1811" width="29.140625" style="4" customWidth="1"/>
    <col min="1812" max="1812" width="25.140625" style="4" customWidth="1"/>
    <col min="1813" max="1814" width="29.42578125" style="4" customWidth="1"/>
    <col min="1815" max="1816" width="23.7109375" style="4" customWidth="1"/>
    <col min="1817" max="1817" width="26.7109375" style="4" customWidth="1"/>
    <col min="1818" max="1818" width="29.85546875" style="4" customWidth="1"/>
    <col min="1819" max="1821" width="23.28515625" style="4" customWidth="1"/>
    <col min="1822" max="1822" width="23.85546875" style="4" customWidth="1"/>
    <col min="1823" max="1823" width="26.7109375" style="4" customWidth="1"/>
    <col min="1824" max="1824" width="24.5703125" style="4" customWidth="1"/>
    <col min="1825" max="1825" width="26.85546875" style="4" customWidth="1"/>
    <col min="1826" max="1827" width="23.5703125" style="4" customWidth="1"/>
    <col min="1828" max="1828" width="28.7109375" style="4" customWidth="1"/>
    <col min="1829" max="1829" width="34.42578125" style="4" customWidth="1"/>
    <col min="1830" max="1830" width="29.7109375" style="4" customWidth="1"/>
    <col min="1831" max="1831" width="22" style="4" customWidth="1"/>
    <col min="1832" max="1832" width="23.7109375" style="4" customWidth="1"/>
    <col min="1833" max="1833" width="23.5703125" style="4" customWidth="1"/>
    <col min="1834" max="1837" width="22.140625" style="4" customWidth="1"/>
    <col min="1838" max="1838" width="25.28515625" style="4" customWidth="1"/>
    <col min="1839" max="1839" width="45.42578125" style="4" customWidth="1"/>
    <col min="1840" max="1840" width="24.7109375" style="4" customWidth="1"/>
    <col min="1841" max="1841" width="26.42578125" style="4" customWidth="1"/>
    <col min="1842" max="1842" width="29.28515625" style="4" customWidth="1"/>
    <col min="1843" max="1845" width="27.28515625" style="4" customWidth="1"/>
    <col min="1846" max="1846" width="31.7109375" style="4" customWidth="1"/>
    <col min="1847" max="1847" width="27.7109375" style="4" customWidth="1"/>
    <col min="1848" max="1850" width="28.28515625" style="4" customWidth="1"/>
    <col min="1851" max="1851" width="24.7109375" style="4" customWidth="1"/>
    <col min="1852" max="1852" width="24.140625" style="4" customWidth="1"/>
    <col min="1853" max="1855" width="22.28515625" style="4" customWidth="1"/>
    <col min="1856" max="1856" width="22.42578125" style="4" customWidth="1"/>
    <col min="1857" max="1857" width="23.7109375" style="4" customWidth="1"/>
    <col min="1858" max="1860" width="9.28515625" style="4" customWidth="1"/>
    <col min="1861" max="2014" width="9.28515625" style="4"/>
    <col min="2015" max="2015" width="26.28515625" style="4" customWidth="1"/>
    <col min="2016" max="2016" width="45.42578125" style="4" customWidth="1"/>
    <col min="2017" max="2017" width="14.85546875" style="4" customWidth="1"/>
    <col min="2018" max="2021" width="9.28515625" style="4" customWidth="1"/>
    <col min="2022" max="2022" width="0.140625" style="4" customWidth="1"/>
    <col min="2023" max="2023" width="29.42578125" style="4" customWidth="1"/>
    <col min="2024" max="2024" width="24.42578125" style="4" customWidth="1"/>
    <col min="2025" max="2025" width="26.7109375" style="4" customWidth="1"/>
    <col min="2026" max="2026" width="24.85546875" style="4" customWidth="1"/>
    <col min="2027" max="2027" width="21.28515625" style="4" customWidth="1"/>
    <col min="2028" max="2031" width="21.5703125" style="4" customWidth="1"/>
    <col min="2032" max="2032" width="28.28515625" style="4" customWidth="1"/>
    <col min="2033" max="2033" width="33" style="4" customWidth="1"/>
    <col min="2034" max="2034" width="22.85546875" style="4" customWidth="1"/>
    <col min="2035" max="2035" width="22" style="4" customWidth="1"/>
    <col min="2036" max="2036" width="24.7109375" style="4" customWidth="1"/>
    <col min="2037" max="2037" width="28.7109375" style="4" customWidth="1"/>
    <col min="2038" max="2038" width="23.5703125" style="4" customWidth="1"/>
    <col min="2039" max="2039" width="24.28515625" style="4" customWidth="1"/>
    <col min="2040" max="2040" width="23.5703125" style="4" customWidth="1"/>
    <col min="2041" max="2045" width="24.28515625" style="4" customWidth="1"/>
    <col min="2046" max="2046" width="22.7109375" style="4" customWidth="1"/>
    <col min="2047" max="2047" width="21.5703125" style="4" customWidth="1"/>
    <col min="2048" max="2048" width="21.42578125" style="4" customWidth="1"/>
    <col min="2049" max="2049" width="22.28515625" style="4" customWidth="1"/>
    <col min="2050" max="2050" width="22.5703125" style="4" customWidth="1"/>
    <col min="2051" max="2051" width="23.28515625" style="4" customWidth="1"/>
    <col min="2052" max="2053" width="20.5703125" style="4" customWidth="1"/>
    <col min="2054" max="2054" width="21.28515625" style="4" customWidth="1"/>
    <col min="2055" max="2055" width="21.42578125" style="4" customWidth="1"/>
    <col min="2056" max="2056" width="22" style="4" customWidth="1"/>
    <col min="2057" max="2058" width="21.5703125" style="4" customWidth="1"/>
    <col min="2059" max="2059" width="22.28515625" style="4" customWidth="1"/>
    <col min="2060" max="2060" width="25.42578125" style="4" customWidth="1"/>
    <col min="2061" max="2061" width="25.28515625" style="4" customWidth="1"/>
    <col min="2062" max="2062" width="28.7109375" style="4" customWidth="1"/>
    <col min="2063" max="2063" width="22.140625" style="4" customWidth="1"/>
    <col min="2064" max="2064" width="22" style="4" customWidth="1"/>
    <col min="2065" max="2065" width="24.5703125" style="4" customWidth="1"/>
    <col min="2066" max="2066" width="19.7109375" style="4" customWidth="1"/>
    <col min="2067" max="2067" width="29.140625" style="4" customWidth="1"/>
    <col min="2068" max="2068" width="25.140625" style="4" customWidth="1"/>
    <col min="2069" max="2070" width="29.42578125" style="4" customWidth="1"/>
    <col min="2071" max="2072" width="23.7109375" style="4" customWidth="1"/>
    <col min="2073" max="2073" width="26.7109375" style="4" customWidth="1"/>
    <col min="2074" max="2074" width="29.85546875" style="4" customWidth="1"/>
    <col min="2075" max="2077" width="23.28515625" style="4" customWidth="1"/>
    <col min="2078" max="2078" width="23.85546875" style="4" customWidth="1"/>
    <col min="2079" max="2079" width="26.7109375" style="4" customWidth="1"/>
    <col min="2080" max="2080" width="24.5703125" style="4" customWidth="1"/>
    <col min="2081" max="2081" width="26.85546875" style="4" customWidth="1"/>
    <col min="2082" max="2083" width="23.5703125" style="4" customWidth="1"/>
    <col min="2084" max="2084" width="28.7109375" style="4" customWidth="1"/>
    <col min="2085" max="2085" width="34.42578125" style="4" customWidth="1"/>
    <col min="2086" max="2086" width="29.7109375" style="4" customWidth="1"/>
    <col min="2087" max="2087" width="22" style="4" customWidth="1"/>
    <col min="2088" max="2088" width="23.7109375" style="4" customWidth="1"/>
    <col min="2089" max="2089" width="23.5703125" style="4" customWidth="1"/>
    <col min="2090" max="2093" width="22.140625" style="4" customWidth="1"/>
    <col min="2094" max="2094" width="25.28515625" style="4" customWidth="1"/>
    <col min="2095" max="2095" width="45.42578125" style="4" customWidth="1"/>
    <col min="2096" max="2096" width="24.7109375" style="4" customWidth="1"/>
    <col min="2097" max="2097" width="26.42578125" style="4" customWidth="1"/>
    <col min="2098" max="2098" width="29.28515625" style="4" customWidth="1"/>
    <col min="2099" max="2101" width="27.28515625" style="4" customWidth="1"/>
    <col min="2102" max="2102" width="31.7109375" style="4" customWidth="1"/>
    <col min="2103" max="2103" width="27.7109375" style="4" customWidth="1"/>
    <col min="2104" max="2106" width="28.28515625" style="4" customWidth="1"/>
    <col min="2107" max="2107" width="24.7109375" style="4" customWidth="1"/>
    <col min="2108" max="2108" width="24.140625" style="4" customWidth="1"/>
    <col min="2109" max="2111" width="22.28515625" style="4" customWidth="1"/>
    <col min="2112" max="2112" width="22.42578125" style="4" customWidth="1"/>
    <col min="2113" max="2113" width="23.7109375" style="4" customWidth="1"/>
    <col min="2114" max="2116" width="9.28515625" style="4" customWidth="1"/>
    <col min="2117" max="2270" width="9.28515625" style="4"/>
    <col min="2271" max="2271" width="26.28515625" style="4" customWidth="1"/>
    <col min="2272" max="2272" width="45.42578125" style="4" customWidth="1"/>
    <col min="2273" max="2273" width="14.85546875" style="4" customWidth="1"/>
    <col min="2274" max="2277" width="9.28515625" style="4" customWidth="1"/>
    <col min="2278" max="2278" width="0.140625" style="4" customWidth="1"/>
    <col min="2279" max="2279" width="29.42578125" style="4" customWidth="1"/>
    <col min="2280" max="2280" width="24.42578125" style="4" customWidth="1"/>
    <col min="2281" max="2281" width="26.7109375" style="4" customWidth="1"/>
    <col min="2282" max="2282" width="24.85546875" style="4" customWidth="1"/>
    <col min="2283" max="2283" width="21.28515625" style="4" customWidth="1"/>
    <col min="2284" max="2287" width="21.5703125" style="4" customWidth="1"/>
    <col min="2288" max="2288" width="28.28515625" style="4" customWidth="1"/>
    <col min="2289" max="2289" width="33" style="4" customWidth="1"/>
    <col min="2290" max="2290" width="22.85546875" style="4" customWidth="1"/>
    <col min="2291" max="2291" width="22" style="4" customWidth="1"/>
    <col min="2292" max="2292" width="24.7109375" style="4" customWidth="1"/>
    <col min="2293" max="2293" width="28.7109375" style="4" customWidth="1"/>
    <col min="2294" max="2294" width="23.5703125" style="4" customWidth="1"/>
    <col min="2295" max="2295" width="24.28515625" style="4" customWidth="1"/>
    <col min="2296" max="2296" width="23.5703125" style="4" customWidth="1"/>
    <col min="2297" max="2301" width="24.28515625" style="4" customWidth="1"/>
    <col min="2302" max="2302" width="22.7109375" style="4" customWidth="1"/>
    <col min="2303" max="2303" width="21.5703125" style="4" customWidth="1"/>
    <col min="2304" max="2304" width="21.42578125" style="4" customWidth="1"/>
    <col min="2305" max="2305" width="22.28515625" style="4" customWidth="1"/>
    <col min="2306" max="2306" width="22.5703125" style="4" customWidth="1"/>
    <col min="2307" max="2307" width="23.28515625" style="4" customWidth="1"/>
    <col min="2308" max="2309" width="20.5703125" style="4" customWidth="1"/>
    <col min="2310" max="2310" width="21.28515625" style="4" customWidth="1"/>
    <col min="2311" max="2311" width="21.42578125" style="4" customWidth="1"/>
    <col min="2312" max="2312" width="22" style="4" customWidth="1"/>
    <col min="2313" max="2314" width="21.5703125" style="4" customWidth="1"/>
    <col min="2315" max="2315" width="22.28515625" style="4" customWidth="1"/>
    <col min="2316" max="2316" width="25.42578125" style="4" customWidth="1"/>
    <col min="2317" max="2317" width="25.28515625" style="4" customWidth="1"/>
    <col min="2318" max="2318" width="28.7109375" style="4" customWidth="1"/>
    <col min="2319" max="2319" width="22.140625" style="4" customWidth="1"/>
    <col min="2320" max="2320" width="22" style="4" customWidth="1"/>
    <col min="2321" max="2321" width="24.5703125" style="4" customWidth="1"/>
    <col min="2322" max="2322" width="19.7109375" style="4" customWidth="1"/>
    <col min="2323" max="2323" width="29.140625" style="4" customWidth="1"/>
    <col min="2324" max="2324" width="25.140625" style="4" customWidth="1"/>
    <col min="2325" max="2326" width="29.42578125" style="4" customWidth="1"/>
    <col min="2327" max="2328" width="23.7109375" style="4" customWidth="1"/>
    <col min="2329" max="2329" width="26.7109375" style="4" customWidth="1"/>
    <col min="2330" max="2330" width="29.85546875" style="4" customWidth="1"/>
    <col min="2331" max="2333" width="23.28515625" style="4" customWidth="1"/>
    <col min="2334" max="2334" width="23.85546875" style="4" customWidth="1"/>
    <col min="2335" max="2335" width="26.7109375" style="4" customWidth="1"/>
    <col min="2336" max="2336" width="24.5703125" style="4" customWidth="1"/>
    <col min="2337" max="2337" width="26.85546875" style="4" customWidth="1"/>
    <col min="2338" max="2339" width="23.5703125" style="4" customWidth="1"/>
    <col min="2340" max="2340" width="28.7109375" style="4" customWidth="1"/>
    <col min="2341" max="2341" width="34.42578125" style="4" customWidth="1"/>
    <col min="2342" max="2342" width="29.7109375" style="4" customWidth="1"/>
    <col min="2343" max="2343" width="22" style="4" customWidth="1"/>
    <col min="2344" max="2344" width="23.7109375" style="4" customWidth="1"/>
    <col min="2345" max="2345" width="23.5703125" style="4" customWidth="1"/>
    <col min="2346" max="2349" width="22.140625" style="4" customWidth="1"/>
    <col min="2350" max="2350" width="25.28515625" style="4" customWidth="1"/>
    <col min="2351" max="2351" width="45.42578125" style="4" customWidth="1"/>
    <col min="2352" max="2352" width="24.7109375" style="4" customWidth="1"/>
    <col min="2353" max="2353" width="26.42578125" style="4" customWidth="1"/>
    <col min="2354" max="2354" width="29.28515625" style="4" customWidth="1"/>
    <col min="2355" max="2357" width="27.28515625" style="4" customWidth="1"/>
    <col min="2358" max="2358" width="31.7109375" style="4" customWidth="1"/>
    <col min="2359" max="2359" width="27.7109375" style="4" customWidth="1"/>
    <col min="2360" max="2362" width="28.28515625" style="4" customWidth="1"/>
    <col min="2363" max="2363" width="24.7109375" style="4" customWidth="1"/>
    <col min="2364" max="2364" width="24.140625" style="4" customWidth="1"/>
    <col min="2365" max="2367" width="22.28515625" style="4" customWidth="1"/>
    <col min="2368" max="2368" width="22.42578125" style="4" customWidth="1"/>
    <col min="2369" max="2369" width="23.7109375" style="4" customWidth="1"/>
    <col min="2370" max="2372" width="9.28515625" style="4" customWidth="1"/>
    <col min="2373" max="2526" width="9.28515625" style="4"/>
    <col min="2527" max="2527" width="26.28515625" style="4" customWidth="1"/>
    <col min="2528" max="2528" width="45.42578125" style="4" customWidth="1"/>
    <col min="2529" max="2529" width="14.85546875" style="4" customWidth="1"/>
    <col min="2530" max="2533" width="9.28515625" style="4" customWidth="1"/>
    <col min="2534" max="2534" width="0.140625" style="4" customWidth="1"/>
    <col min="2535" max="2535" width="29.42578125" style="4" customWidth="1"/>
    <col min="2536" max="2536" width="24.42578125" style="4" customWidth="1"/>
    <col min="2537" max="2537" width="26.7109375" style="4" customWidth="1"/>
    <col min="2538" max="2538" width="24.85546875" style="4" customWidth="1"/>
    <col min="2539" max="2539" width="21.28515625" style="4" customWidth="1"/>
    <col min="2540" max="2543" width="21.5703125" style="4" customWidth="1"/>
    <col min="2544" max="2544" width="28.28515625" style="4" customWidth="1"/>
    <col min="2545" max="2545" width="33" style="4" customWidth="1"/>
    <col min="2546" max="2546" width="22.85546875" style="4" customWidth="1"/>
    <col min="2547" max="2547" width="22" style="4" customWidth="1"/>
    <col min="2548" max="2548" width="24.7109375" style="4" customWidth="1"/>
    <col min="2549" max="2549" width="28.7109375" style="4" customWidth="1"/>
    <col min="2550" max="2550" width="23.5703125" style="4" customWidth="1"/>
    <col min="2551" max="2551" width="24.28515625" style="4" customWidth="1"/>
    <col min="2552" max="2552" width="23.5703125" style="4" customWidth="1"/>
    <col min="2553" max="2557" width="24.28515625" style="4" customWidth="1"/>
    <col min="2558" max="2558" width="22.7109375" style="4" customWidth="1"/>
    <col min="2559" max="2559" width="21.5703125" style="4" customWidth="1"/>
    <col min="2560" max="2560" width="21.42578125" style="4" customWidth="1"/>
    <col min="2561" max="2561" width="22.28515625" style="4" customWidth="1"/>
    <col min="2562" max="2562" width="22.5703125" style="4" customWidth="1"/>
    <col min="2563" max="2563" width="23.28515625" style="4" customWidth="1"/>
    <col min="2564" max="2565" width="20.5703125" style="4" customWidth="1"/>
    <col min="2566" max="2566" width="21.28515625" style="4" customWidth="1"/>
    <col min="2567" max="2567" width="21.42578125" style="4" customWidth="1"/>
    <col min="2568" max="2568" width="22" style="4" customWidth="1"/>
    <col min="2569" max="2570" width="21.5703125" style="4" customWidth="1"/>
    <col min="2571" max="2571" width="22.28515625" style="4" customWidth="1"/>
    <col min="2572" max="2572" width="25.42578125" style="4" customWidth="1"/>
    <col min="2573" max="2573" width="25.28515625" style="4" customWidth="1"/>
    <col min="2574" max="2574" width="28.7109375" style="4" customWidth="1"/>
    <col min="2575" max="2575" width="22.140625" style="4" customWidth="1"/>
    <col min="2576" max="2576" width="22" style="4" customWidth="1"/>
    <col min="2577" max="2577" width="24.5703125" style="4" customWidth="1"/>
    <col min="2578" max="2578" width="19.7109375" style="4" customWidth="1"/>
    <col min="2579" max="2579" width="29.140625" style="4" customWidth="1"/>
    <col min="2580" max="2580" width="25.140625" style="4" customWidth="1"/>
    <col min="2581" max="2582" width="29.42578125" style="4" customWidth="1"/>
    <col min="2583" max="2584" width="23.7109375" style="4" customWidth="1"/>
    <col min="2585" max="2585" width="26.7109375" style="4" customWidth="1"/>
    <col min="2586" max="2586" width="29.85546875" style="4" customWidth="1"/>
    <col min="2587" max="2589" width="23.28515625" style="4" customWidth="1"/>
    <col min="2590" max="2590" width="23.85546875" style="4" customWidth="1"/>
    <col min="2591" max="2591" width="26.7109375" style="4" customWidth="1"/>
    <col min="2592" max="2592" width="24.5703125" style="4" customWidth="1"/>
    <col min="2593" max="2593" width="26.85546875" style="4" customWidth="1"/>
    <col min="2594" max="2595" width="23.5703125" style="4" customWidth="1"/>
    <col min="2596" max="2596" width="28.7109375" style="4" customWidth="1"/>
    <col min="2597" max="2597" width="34.42578125" style="4" customWidth="1"/>
    <col min="2598" max="2598" width="29.7109375" style="4" customWidth="1"/>
    <col min="2599" max="2599" width="22" style="4" customWidth="1"/>
    <col min="2600" max="2600" width="23.7109375" style="4" customWidth="1"/>
    <col min="2601" max="2601" width="23.5703125" style="4" customWidth="1"/>
    <col min="2602" max="2605" width="22.140625" style="4" customWidth="1"/>
    <col min="2606" max="2606" width="25.28515625" style="4" customWidth="1"/>
    <col min="2607" max="2607" width="45.42578125" style="4" customWidth="1"/>
    <col min="2608" max="2608" width="24.7109375" style="4" customWidth="1"/>
    <col min="2609" max="2609" width="26.42578125" style="4" customWidth="1"/>
    <col min="2610" max="2610" width="29.28515625" style="4" customWidth="1"/>
    <col min="2611" max="2613" width="27.28515625" style="4" customWidth="1"/>
    <col min="2614" max="2614" width="31.7109375" style="4" customWidth="1"/>
    <col min="2615" max="2615" width="27.7109375" style="4" customWidth="1"/>
    <col min="2616" max="2618" width="28.28515625" style="4" customWidth="1"/>
    <col min="2619" max="2619" width="24.7109375" style="4" customWidth="1"/>
    <col min="2620" max="2620" width="24.140625" style="4" customWidth="1"/>
    <col min="2621" max="2623" width="22.28515625" style="4" customWidth="1"/>
    <col min="2624" max="2624" width="22.42578125" style="4" customWidth="1"/>
    <col min="2625" max="2625" width="23.7109375" style="4" customWidth="1"/>
    <col min="2626" max="2628" width="9.28515625" style="4" customWidth="1"/>
    <col min="2629" max="2782" width="9.28515625" style="4"/>
    <col min="2783" max="2783" width="26.28515625" style="4" customWidth="1"/>
    <col min="2784" max="2784" width="45.42578125" style="4" customWidth="1"/>
    <col min="2785" max="2785" width="14.85546875" style="4" customWidth="1"/>
    <col min="2786" max="2789" width="9.28515625" style="4" customWidth="1"/>
    <col min="2790" max="2790" width="0.140625" style="4" customWidth="1"/>
    <col min="2791" max="2791" width="29.42578125" style="4" customWidth="1"/>
    <col min="2792" max="2792" width="24.42578125" style="4" customWidth="1"/>
    <col min="2793" max="2793" width="26.7109375" style="4" customWidth="1"/>
    <col min="2794" max="2794" width="24.85546875" style="4" customWidth="1"/>
    <col min="2795" max="2795" width="21.28515625" style="4" customWidth="1"/>
    <col min="2796" max="2799" width="21.5703125" style="4" customWidth="1"/>
    <col min="2800" max="2800" width="28.28515625" style="4" customWidth="1"/>
    <col min="2801" max="2801" width="33" style="4" customWidth="1"/>
    <col min="2802" max="2802" width="22.85546875" style="4" customWidth="1"/>
    <col min="2803" max="2803" width="22" style="4" customWidth="1"/>
    <col min="2804" max="2804" width="24.7109375" style="4" customWidth="1"/>
    <col min="2805" max="2805" width="28.7109375" style="4" customWidth="1"/>
    <col min="2806" max="2806" width="23.5703125" style="4" customWidth="1"/>
    <col min="2807" max="2807" width="24.28515625" style="4" customWidth="1"/>
    <col min="2808" max="2808" width="23.5703125" style="4" customWidth="1"/>
    <col min="2809" max="2813" width="24.28515625" style="4" customWidth="1"/>
    <col min="2814" max="2814" width="22.7109375" style="4" customWidth="1"/>
    <col min="2815" max="2815" width="21.5703125" style="4" customWidth="1"/>
    <col min="2816" max="2816" width="21.42578125" style="4" customWidth="1"/>
    <col min="2817" max="2817" width="22.28515625" style="4" customWidth="1"/>
    <col min="2818" max="2818" width="22.5703125" style="4" customWidth="1"/>
    <col min="2819" max="2819" width="23.28515625" style="4" customWidth="1"/>
    <col min="2820" max="2821" width="20.5703125" style="4" customWidth="1"/>
    <col min="2822" max="2822" width="21.28515625" style="4" customWidth="1"/>
    <col min="2823" max="2823" width="21.42578125" style="4" customWidth="1"/>
    <col min="2824" max="2824" width="22" style="4" customWidth="1"/>
    <col min="2825" max="2826" width="21.5703125" style="4" customWidth="1"/>
    <col min="2827" max="2827" width="22.28515625" style="4" customWidth="1"/>
    <col min="2828" max="2828" width="25.42578125" style="4" customWidth="1"/>
    <col min="2829" max="2829" width="25.28515625" style="4" customWidth="1"/>
    <col min="2830" max="2830" width="28.7109375" style="4" customWidth="1"/>
    <col min="2831" max="2831" width="22.140625" style="4" customWidth="1"/>
    <col min="2832" max="2832" width="22" style="4" customWidth="1"/>
    <col min="2833" max="2833" width="24.5703125" style="4" customWidth="1"/>
    <col min="2834" max="2834" width="19.7109375" style="4" customWidth="1"/>
    <col min="2835" max="2835" width="29.140625" style="4" customWidth="1"/>
    <col min="2836" max="2836" width="25.140625" style="4" customWidth="1"/>
    <col min="2837" max="2838" width="29.42578125" style="4" customWidth="1"/>
    <col min="2839" max="2840" width="23.7109375" style="4" customWidth="1"/>
    <col min="2841" max="2841" width="26.7109375" style="4" customWidth="1"/>
    <col min="2842" max="2842" width="29.85546875" style="4" customWidth="1"/>
    <col min="2843" max="2845" width="23.28515625" style="4" customWidth="1"/>
    <col min="2846" max="2846" width="23.85546875" style="4" customWidth="1"/>
    <col min="2847" max="2847" width="26.7109375" style="4" customWidth="1"/>
    <col min="2848" max="2848" width="24.5703125" style="4" customWidth="1"/>
    <col min="2849" max="2849" width="26.85546875" style="4" customWidth="1"/>
    <col min="2850" max="2851" width="23.5703125" style="4" customWidth="1"/>
    <col min="2852" max="2852" width="28.7109375" style="4" customWidth="1"/>
    <col min="2853" max="2853" width="34.42578125" style="4" customWidth="1"/>
    <col min="2854" max="2854" width="29.7109375" style="4" customWidth="1"/>
    <col min="2855" max="2855" width="22" style="4" customWidth="1"/>
    <col min="2856" max="2856" width="23.7109375" style="4" customWidth="1"/>
    <col min="2857" max="2857" width="23.5703125" style="4" customWidth="1"/>
    <col min="2858" max="2861" width="22.140625" style="4" customWidth="1"/>
    <col min="2862" max="2862" width="25.28515625" style="4" customWidth="1"/>
    <col min="2863" max="2863" width="45.42578125" style="4" customWidth="1"/>
    <col min="2864" max="2864" width="24.7109375" style="4" customWidth="1"/>
    <col min="2865" max="2865" width="26.42578125" style="4" customWidth="1"/>
    <col min="2866" max="2866" width="29.28515625" style="4" customWidth="1"/>
    <col min="2867" max="2869" width="27.28515625" style="4" customWidth="1"/>
    <col min="2870" max="2870" width="31.7109375" style="4" customWidth="1"/>
    <col min="2871" max="2871" width="27.7109375" style="4" customWidth="1"/>
    <col min="2872" max="2874" width="28.28515625" style="4" customWidth="1"/>
    <col min="2875" max="2875" width="24.7109375" style="4" customWidth="1"/>
    <col min="2876" max="2876" width="24.140625" style="4" customWidth="1"/>
    <col min="2877" max="2879" width="22.28515625" style="4" customWidth="1"/>
    <col min="2880" max="2880" width="22.42578125" style="4" customWidth="1"/>
    <col min="2881" max="2881" width="23.7109375" style="4" customWidth="1"/>
    <col min="2882" max="2884" width="9.28515625" style="4" customWidth="1"/>
    <col min="2885" max="3038" width="9.28515625" style="4"/>
    <col min="3039" max="3039" width="26.28515625" style="4" customWidth="1"/>
    <col min="3040" max="3040" width="45.42578125" style="4" customWidth="1"/>
    <col min="3041" max="3041" width="14.85546875" style="4" customWidth="1"/>
    <col min="3042" max="3045" width="9.28515625" style="4" customWidth="1"/>
    <col min="3046" max="3046" width="0.140625" style="4" customWidth="1"/>
    <col min="3047" max="3047" width="29.42578125" style="4" customWidth="1"/>
    <col min="3048" max="3048" width="24.42578125" style="4" customWidth="1"/>
    <col min="3049" max="3049" width="26.7109375" style="4" customWidth="1"/>
    <col min="3050" max="3050" width="24.85546875" style="4" customWidth="1"/>
    <col min="3051" max="3051" width="21.28515625" style="4" customWidth="1"/>
    <col min="3052" max="3055" width="21.5703125" style="4" customWidth="1"/>
    <col min="3056" max="3056" width="28.28515625" style="4" customWidth="1"/>
    <col min="3057" max="3057" width="33" style="4" customWidth="1"/>
    <col min="3058" max="3058" width="22.85546875" style="4" customWidth="1"/>
    <col min="3059" max="3059" width="22" style="4" customWidth="1"/>
    <col min="3060" max="3060" width="24.7109375" style="4" customWidth="1"/>
    <col min="3061" max="3061" width="28.7109375" style="4" customWidth="1"/>
    <col min="3062" max="3062" width="23.5703125" style="4" customWidth="1"/>
    <col min="3063" max="3063" width="24.28515625" style="4" customWidth="1"/>
    <col min="3064" max="3064" width="23.5703125" style="4" customWidth="1"/>
    <col min="3065" max="3069" width="24.28515625" style="4" customWidth="1"/>
    <col min="3070" max="3070" width="22.7109375" style="4" customWidth="1"/>
    <col min="3071" max="3071" width="21.5703125" style="4" customWidth="1"/>
    <col min="3072" max="3072" width="21.42578125" style="4" customWidth="1"/>
    <col min="3073" max="3073" width="22.28515625" style="4" customWidth="1"/>
    <col min="3074" max="3074" width="22.5703125" style="4" customWidth="1"/>
    <col min="3075" max="3075" width="23.28515625" style="4" customWidth="1"/>
    <col min="3076" max="3077" width="20.5703125" style="4" customWidth="1"/>
    <col min="3078" max="3078" width="21.28515625" style="4" customWidth="1"/>
    <col min="3079" max="3079" width="21.42578125" style="4" customWidth="1"/>
    <col min="3080" max="3080" width="22" style="4" customWidth="1"/>
    <col min="3081" max="3082" width="21.5703125" style="4" customWidth="1"/>
    <col min="3083" max="3083" width="22.28515625" style="4" customWidth="1"/>
    <col min="3084" max="3084" width="25.42578125" style="4" customWidth="1"/>
    <col min="3085" max="3085" width="25.28515625" style="4" customWidth="1"/>
    <col min="3086" max="3086" width="28.7109375" style="4" customWidth="1"/>
    <col min="3087" max="3087" width="22.140625" style="4" customWidth="1"/>
    <col min="3088" max="3088" width="22" style="4" customWidth="1"/>
    <col min="3089" max="3089" width="24.5703125" style="4" customWidth="1"/>
    <col min="3090" max="3090" width="19.7109375" style="4" customWidth="1"/>
    <col min="3091" max="3091" width="29.140625" style="4" customWidth="1"/>
    <col min="3092" max="3092" width="25.140625" style="4" customWidth="1"/>
    <col min="3093" max="3094" width="29.42578125" style="4" customWidth="1"/>
    <col min="3095" max="3096" width="23.7109375" style="4" customWidth="1"/>
    <col min="3097" max="3097" width="26.7109375" style="4" customWidth="1"/>
    <col min="3098" max="3098" width="29.85546875" style="4" customWidth="1"/>
    <col min="3099" max="3101" width="23.28515625" style="4" customWidth="1"/>
    <col min="3102" max="3102" width="23.85546875" style="4" customWidth="1"/>
    <col min="3103" max="3103" width="26.7109375" style="4" customWidth="1"/>
    <col min="3104" max="3104" width="24.5703125" style="4" customWidth="1"/>
    <col min="3105" max="3105" width="26.85546875" style="4" customWidth="1"/>
    <col min="3106" max="3107" width="23.5703125" style="4" customWidth="1"/>
    <col min="3108" max="3108" width="28.7109375" style="4" customWidth="1"/>
    <col min="3109" max="3109" width="34.42578125" style="4" customWidth="1"/>
    <col min="3110" max="3110" width="29.7109375" style="4" customWidth="1"/>
    <col min="3111" max="3111" width="22" style="4" customWidth="1"/>
    <col min="3112" max="3112" width="23.7109375" style="4" customWidth="1"/>
    <col min="3113" max="3113" width="23.5703125" style="4" customWidth="1"/>
    <col min="3114" max="3117" width="22.140625" style="4" customWidth="1"/>
    <col min="3118" max="3118" width="25.28515625" style="4" customWidth="1"/>
    <col min="3119" max="3119" width="45.42578125" style="4" customWidth="1"/>
    <col min="3120" max="3120" width="24.7109375" style="4" customWidth="1"/>
    <col min="3121" max="3121" width="26.42578125" style="4" customWidth="1"/>
    <col min="3122" max="3122" width="29.28515625" style="4" customWidth="1"/>
    <col min="3123" max="3125" width="27.28515625" style="4" customWidth="1"/>
    <col min="3126" max="3126" width="31.7109375" style="4" customWidth="1"/>
    <col min="3127" max="3127" width="27.7109375" style="4" customWidth="1"/>
    <col min="3128" max="3130" width="28.28515625" style="4" customWidth="1"/>
    <col min="3131" max="3131" width="24.7109375" style="4" customWidth="1"/>
    <col min="3132" max="3132" width="24.140625" style="4" customWidth="1"/>
    <col min="3133" max="3135" width="22.28515625" style="4" customWidth="1"/>
    <col min="3136" max="3136" width="22.42578125" style="4" customWidth="1"/>
    <col min="3137" max="3137" width="23.7109375" style="4" customWidth="1"/>
    <col min="3138" max="3140" width="9.28515625" style="4" customWidth="1"/>
    <col min="3141" max="3294" width="9.28515625" style="4"/>
    <col min="3295" max="3295" width="26.28515625" style="4" customWidth="1"/>
    <col min="3296" max="3296" width="45.42578125" style="4" customWidth="1"/>
    <col min="3297" max="3297" width="14.85546875" style="4" customWidth="1"/>
    <col min="3298" max="3301" width="9.28515625" style="4" customWidth="1"/>
    <col min="3302" max="3302" width="0.140625" style="4" customWidth="1"/>
    <col min="3303" max="3303" width="29.42578125" style="4" customWidth="1"/>
    <col min="3304" max="3304" width="24.42578125" style="4" customWidth="1"/>
    <col min="3305" max="3305" width="26.7109375" style="4" customWidth="1"/>
    <col min="3306" max="3306" width="24.85546875" style="4" customWidth="1"/>
    <col min="3307" max="3307" width="21.28515625" style="4" customWidth="1"/>
    <col min="3308" max="3311" width="21.5703125" style="4" customWidth="1"/>
    <col min="3312" max="3312" width="28.28515625" style="4" customWidth="1"/>
    <col min="3313" max="3313" width="33" style="4" customWidth="1"/>
    <col min="3314" max="3314" width="22.85546875" style="4" customWidth="1"/>
    <col min="3315" max="3315" width="22" style="4" customWidth="1"/>
    <col min="3316" max="3316" width="24.7109375" style="4" customWidth="1"/>
    <col min="3317" max="3317" width="28.7109375" style="4" customWidth="1"/>
    <col min="3318" max="3318" width="23.5703125" style="4" customWidth="1"/>
    <col min="3319" max="3319" width="24.28515625" style="4" customWidth="1"/>
    <col min="3320" max="3320" width="23.5703125" style="4" customWidth="1"/>
    <col min="3321" max="3325" width="24.28515625" style="4" customWidth="1"/>
    <col min="3326" max="3326" width="22.7109375" style="4" customWidth="1"/>
    <col min="3327" max="3327" width="21.5703125" style="4" customWidth="1"/>
    <col min="3328" max="3328" width="21.42578125" style="4" customWidth="1"/>
    <col min="3329" max="3329" width="22.28515625" style="4" customWidth="1"/>
    <col min="3330" max="3330" width="22.5703125" style="4" customWidth="1"/>
    <col min="3331" max="3331" width="23.28515625" style="4" customWidth="1"/>
    <col min="3332" max="3333" width="20.5703125" style="4" customWidth="1"/>
    <col min="3334" max="3334" width="21.28515625" style="4" customWidth="1"/>
    <col min="3335" max="3335" width="21.42578125" style="4" customWidth="1"/>
    <col min="3336" max="3336" width="22" style="4" customWidth="1"/>
    <col min="3337" max="3338" width="21.5703125" style="4" customWidth="1"/>
    <col min="3339" max="3339" width="22.28515625" style="4" customWidth="1"/>
    <col min="3340" max="3340" width="25.42578125" style="4" customWidth="1"/>
    <col min="3341" max="3341" width="25.28515625" style="4" customWidth="1"/>
    <col min="3342" max="3342" width="28.7109375" style="4" customWidth="1"/>
    <col min="3343" max="3343" width="22.140625" style="4" customWidth="1"/>
    <col min="3344" max="3344" width="22" style="4" customWidth="1"/>
    <col min="3345" max="3345" width="24.5703125" style="4" customWidth="1"/>
    <col min="3346" max="3346" width="19.7109375" style="4" customWidth="1"/>
    <col min="3347" max="3347" width="29.140625" style="4" customWidth="1"/>
    <col min="3348" max="3348" width="25.140625" style="4" customWidth="1"/>
    <col min="3349" max="3350" width="29.42578125" style="4" customWidth="1"/>
    <col min="3351" max="3352" width="23.7109375" style="4" customWidth="1"/>
    <col min="3353" max="3353" width="26.7109375" style="4" customWidth="1"/>
    <col min="3354" max="3354" width="29.85546875" style="4" customWidth="1"/>
    <col min="3355" max="3357" width="23.28515625" style="4" customWidth="1"/>
    <col min="3358" max="3358" width="23.85546875" style="4" customWidth="1"/>
    <col min="3359" max="3359" width="26.7109375" style="4" customWidth="1"/>
    <col min="3360" max="3360" width="24.5703125" style="4" customWidth="1"/>
    <col min="3361" max="3361" width="26.85546875" style="4" customWidth="1"/>
    <col min="3362" max="3363" width="23.5703125" style="4" customWidth="1"/>
    <col min="3364" max="3364" width="28.7109375" style="4" customWidth="1"/>
    <col min="3365" max="3365" width="34.42578125" style="4" customWidth="1"/>
    <col min="3366" max="3366" width="29.7109375" style="4" customWidth="1"/>
    <col min="3367" max="3367" width="22" style="4" customWidth="1"/>
    <col min="3368" max="3368" width="23.7109375" style="4" customWidth="1"/>
    <col min="3369" max="3369" width="23.5703125" style="4" customWidth="1"/>
    <col min="3370" max="3373" width="22.140625" style="4" customWidth="1"/>
    <col min="3374" max="3374" width="25.28515625" style="4" customWidth="1"/>
    <col min="3375" max="3375" width="45.42578125" style="4" customWidth="1"/>
    <col min="3376" max="3376" width="24.7109375" style="4" customWidth="1"/>
    <col min="3377" max="3377" width="26.42578125" style="4" customWidth="1"/>
    <col min="3378" max="3378" width="29.28515625" style="4" customWidth="1"/>
    <col min="3379" max="3381" width="27.28515625" style="4" customWidth="1"/>
    <col min="3382" max="3382" width="31.7109375" style="4" customWidth="1"/>
    <col min="3383" max="3383" width="27.7109375" style="4" customWidth="1"/>
    <col min="3384" max="3386" width="28.28515625" style="4" customWidth="1"/>
    <col min="3387" max="3387" width="24.7109375" style="4" customWidth="1"/>
    <col min="3388" max="3388" width="24.140625" style="4" customWidth="1"/>
    <col min="3389" max="3391" width="22.28515625" style="4" customWidth="1"/>
    <col min="3392" max="3392" width="22.42578125" style="4" customWidth="1"/>
    <col min="3393" max="3393" width="23.7109375" style="4" customWidth="1"/>
    <col min="3394" max="3396" width="9.28515625" style="4" customWidth="1"/>
    <col min="3397" max="3550" width="9.28515625" style="4"/>
    <col min="3551" max="3551" width="26.28515625" style="4" customWidth="1"/>
    <col min="3552" max="3552" width="45.42578125" style="4" customWidth="1"/>
    <col min="3553" max="3553" width="14.85546875" style="4" customWidth="1"/>
    <col min="3554" max="3557" width="9.28515625" style="4" customWidth="1"/>
    <col min="3558" max="3558" width="0.140625" style="4" customWidth="1"/>
    <col min="3559" max="3559" width="29.42578125" style="4" customWidth="1"/>
    <col min="3560" max="3560" width="24.42578125" style="4" customWidth="1"/>
    <col min="3561" max="3561" width="26.7109375" style="4" customWidth="1"/>
    <col min="3562" max="3562" width="24.85546875" style="4" customWidth="1"/>
    <col min="3563" max="3563" width="21.28515625" style="4" customWidth="1"/>
    <col min="3564" max="3567" width="21.5703125" style="4" customWidth="1"/>
    <col min="3568" max="3568" width="28.28515625" style="4" customWidth="1"/>
    <col min="3569" max="3569" width="33" style="4" customWidth="1"/>
    <col min="3570" max="3570" width="22.85546875" style="4" customWidth="1"/>
    <col min="3571" max="3571" width="22" style="4" customWidth="1"/>
    <col min="3572" max="3572" width="24.7109375" style="4" customWidth="1"/>
    <col min="3573" max="3573" width="28.7109375" style="4" customWidth="1"/>
    <col min="3574" max="3574" width="23.5703125" style="4" customWidth="1"/>
    <col min="3575" max="3575" width="24.28515625" style="4" customWidth="1"/>
    <col min="3576" max="3576" width="23.5703125" style="4" customWidth="1"/>
    <col min="3577" max="3581" width="24.28515625" style="4" customWidth="1"/>
    <col min="3582" max="3582" width="22.7109375" style="4" customWidth="1"/>
    <col min="3583" max="3583" width="21.5703125" style="4" customWidth="1"/>
    <col min="3584" max="3584" width="21.42578125" style="4" customWidth="1"/>
    <col min="3585" max="3585" width="22.28515625" style="4" customWidth="1"/>
    <col min="3586" max="3586" width="22.5703125" style="4" customWidth="1"/>
    <col min="3587" max="3587" width="23.28515625" style="4" customWidth="1"/>
    <col min="3588" max="3589" width="20.5703125" style="4" customWidth="1"/>
    <col min="3590" max="3590" width="21.28515625" style="4" customWidth="1"/>
    <col min="3591" max="3591" width="21.42578125" style="4" customWidth="1"/>
    <col min="3592" max="3592" width="22" style="4" customWidth="1"/>
    <col min="3593" max="3594" width="21.5703125" style="4" customWidth="1"/>
    <col min="3595" max="3595" width="22.28515625" style="4" customWidth="1"/>
    <col min="3596" max="3596" width="25.42578125" style="4" customWidth="1"/>
    <col min="3597" max="3597" width="25.28515625" style="4" customWidth="1"/>
    <col min="3598" max="3598" width="28.7109375" style="4" customWidth="1"/>
    <col min="3599" max="3599" width="22.140625" style="4" customWidth="1"/>
    <col min="3600" max="3600" width="22" style="4" customWidth="1"/>
    <col min="3601" max="3601" width="24.5703125" style="4" customWidth="1"/>
    <col min="3602" max="3602" width="19.7109375" style="4" customWidth="1"/>
    <col min="3603" max="3603" width="29.140625" style="4" customWidth="1"/>
    <col min="3604" max="3604" width="25.140625" style="4" customWidth="1"/>
    <col min="3605" max="3606" width="29.42578125" style="4" customWidth="1"/>
    <col min="3607" max="3608" width="23.7109375" style="4" customWidth="1"/>
    <col min="3609" max="3609" width="26.7109375" style="4" customWidth="1"/>
    <col min="3610" max="3610" width="29.85546875" style="4" customWidth="1"/>
    <col min="3611" max="3613" width="23.28515625" style="4" customWidth="1"/>
    <col min="3614" max="3614" width="23.85546875" style="4" customWidth="1"/>
    <col min="3615" max="3615" width="26.7109375" style="4" customWidth="1"/>
    <col min="3616" max="3616" width="24.5703125" style="4" customWidth="1"/>
    <col min="3617" max="3617" width="26.85546875" style="4" customWidth="1"/>
    <col min="3618" max="3619" width="23.5703125" style="4" customWidth="1"/>
    <col min="3620" max="3620" width="28.7109375" style="4" customWidth="1"/>
    <col min="3621" max="3621" width="34.42578125" style="4" customWidth="1"/>
    <col min="3622" max="3622" width="29.7109375" style="4" customWidth="1"/>
    <col min="3623" max="3623" width="22" style="4" customWidth="1"/>
    <col min="3624" max="3624" width="23.7109375" style="4" customWidth="1"/>
    <col min="3625" max="3625" width="23.5703125" style="4" customWidth="1"/>
    <col min="3626" max="3629" width="22.140625" style="4" customWidth="1"/>
    <col min="3630" max="3630" width="25.28515625" style="4" customWidth="1"/>
    <col min="3631" max="3631" width="45.42578125" style="4" customWidth="1"/>
    <col min="3632" max="3632" width="24.7109375" style="4" customWidth="1"/>
    <col min="3633" max="3633" width="26.42578125" style="4" customWidth="1"/>
    <col min="3634" max="3634" width="29.28515625" style="4" customWidth="1"/>
    <col min="3635" max="3637" width="27.28515625" style="4" customWidth="1"/>
    <col min="3638" max="3638" width="31.7109375" style="4" customWidth="1"/>
    <col min="3639" max="3639" width="27.7109375" style="4" customWidth="1"/>
    <col min="3640" max="3642" width="28.28515625" style="4" customWidth="1"/>
    <col min="3643" max="3643" width="24.7109375" style="4" customWidth="1"/>
    <col min="3644" max="3644" width="24.140625" style="4" customWidth="1"/>
    <col min="3645" max="3647" width="22.28515625" style="4" customWidth="1"/>
    <col min="3648" max="3648" width="22.42578125" style="4" customWidth="1"/>
    <col min="3649" max="3649" width="23.7109375" style="4" customWidth="1"/>
    <col min="3650" max="3652" width="9.28515625" style="4" customWidth="1"/>
    <col min="3653" max="3806" width="9.28515625" style="4"/>
    <col min="3807" max="3807" width="26.28515625" style="4" customWidth="1"/>
    <col min="3808" max="3808" width="45.42578125" style="4" customWidth="1"/>
    <col min="3809" max="3809" width="14.85546875" style="4" customWidth="1"/>
    <col min="3810" max="3813" width="9.28515625" style="4" customWidth="1"/>
    <col min="3814" max="3814" width="0.140625" style="4" customWidth="1"/>
    <col min="3815" max="3815" width="29.42578125" style="4" customWidth="1"/>
    <col min="3816" max="3816" width="24.42578125" style="4" customWidth="1"/>
    <col min="3817" max="3817" width="26.7109375" style="4" customWidth="1"/>
    <col min="3818" max="3818" width="24.85546875" style="4" customWidth="1"/>
    <col min="3819" max="3819" width="21.28515625" style="4" customWidth="1"/>
    <col min="3820" max="3823" width="21.5703125" style="4" customWidth="1"/>
    <col min="3824" max="3824" width="28.28515625" style="4" customWidth="1"/>
    <col min="3825" max="3825" width="33" style="4" customWidth="1"/>
    <col min="3826" max="3826" width="22.85546875" style="4" customWidth="1"/>
    <col min="3827" max="3827" width="22" style="4" customWidth="1"/>
    <col min="3828" max="3828" width="24.7109375" style="4" customWidth="1"/>
    <col min="3829" max="3829" width="28.7109375" style="4" customWidth="1"/>
    <col min="3830" max="3830" width="23.5703125" style="4" customWidth="1"/>
    <col min="3831" max="3831" width="24.28515625" style="4" customWidth="1"/>
    <col min="3832" max="3832" width="23.5703125" style="4" customWidth="1"/>
    <col min="3833" max="3837" width="24.28515625" style="4" customWidth="1"/>
    <col min="3838" max="3838" width="22.7109375" style="4" customWidth="1"/>
    <col min="3839" max="3839" width="21.5703125" style="4" customWidth="1"/>
    <col min="3840" max="3840" width="21.42578125" style="4" customWidth="1"/>
    <col min="3841" max="3841" width="22.28515625" style="4" customWidth="1"/>
    <col min="3842" max="3842" width="22.5703125" style="4" customWidth="1"/>
    <col min="3843" max="3843" width="23.28515625" style="4" customWidth="1"/>
    <col min="3844" max="3845" width="20.5703125" style="4" customWidth="1"/>
    <col min="3846" max="3846" width="21.28515625" style="4" customWidth="1"/>
    <col min="3847" max="3847" width="21.42578125" style="4" customWidth="1"/>
    <col min="3848" max="3848" width="22" style="4" customWidth="1"/>
    <col min="3849" max="3850" width="21.5703125" style="4" customWidth="1"/>
    <col min="3851" max="3851" width="22.28515625" style="4" customWidth="1"/>
    <col min="3852" max="3852" width="25.42578125" style="4" customWidth="1"/>
    <col min="3853" max="3853" width="25.28515625" style="4" customWidth="1"/>
    <col min="3854" max="3854" width="28.7109375" style="4" customWidth="1"/>
    <col min="3855" max="3855" width="22.140625" style="4" customWidth="1"/>
    <col min="3856" max="3856" width="22" style="4" customWidth="1"/>
    <col min="3857" max="3857" width="24.5703125" style="4" customWidth="1"/>
    <col min="3858" max="3858" width="19.7109375" style="4" customWidth="1"/>
    <col min="3859" max="3859" width="29.140625" style="4" customWidth="1"/>
    <col min="3860" max="3860" width="25.140625" style="4" customWidth="1"/>
    <col min="3861" max="3862" width="29.42578125" style="4" customWidth="1"/>
    <col min="3863" max="3864" width="23.7109375" style="4" customWidth="1"/>
    <col min="3865" max="3865" width="26.7109375" style="4" customWidth="1"/>
    <col min="3866" max="3866" width="29.85546875" style="4" customWidth="1"/>
    <col min="3867" max="3869" width="23.28515625" style="4" customWidth="1"/>
    <col min="3870" max="3870" width="23.85546875" style="4" customWidth="1"/>
    <col min="3871" max="3871" width="26.7109375" style="4" customWidth="1"/>
    <col min="3872" max="3872" width="24.5703125" style="4" customWidth="1"/>
    <col min="3873" max="3873" width="26.85546875" style="4" customWidth="1"/>
    <col min="3874" max="3875" width="23.5703125" style="4" customWidth="1"/>
    <col min="3876" max="3876" width="28.7109375" style="4" customWidth="1"/>
    <col min="3877" max="3877" width="34.42578125" style="4" customWidth="1"/>
    <col min="3878" max="3878" width="29.7109375" style="4" customWidth="1"/>
    <col min="3879" max="3879" width="22" style="4" customWidth="1"/>
    <col min="3880" max="3880" width="23.7109375" style="4" customWidth="1"/>
    <col min="3881" max="3881" width="23.5703125" style="4" customWidth="1"/>
    <col min="3882" max="3885" width="22.140625" style="4" customWidth="1"/>
    <col min="3886" max="3886" width="25.28515625" style="4" customWidth="1"/>
    <col min="3887" max="3887" width="45.42578125" style="4" customWidth="1"/>
    <col min="3888" max="3888" width="24.7109375" style="4" customWidth="1"/>
    <col min="3889" max="3889" width="26.42578125" style="4" customWidth="1"/>
    <col min="3890" max="3890" width="29.28515625" style="4" customWidth="1"/>
    <col min="3891" max="3893" width="27.28515625" style="4" customWidth="1"/>
    <col min="3894" max="3894" width="31.7109375" style="4" customWidth="1"/>
    <col min="3895" max="3895" width="27.7109375" style="4" customWidth="1"/>
    <col min="3896" max="3898" width="28.28515625" style="4" customWidth="1"/>
    <col min="3899" max="3899" width="24.7109375" style="4" customWidth="1"/>
    <col min="3900" max="3900" width="24.140625" style="4" customWidth="1"/>
    <col min="3901" max="3903" width="22.28515625" style="4" customWidth="1"/>
    <col min="3904" max="3904" width="22.42578125" style="4" customWidth="1"/>
    <col min="3905" max="3905" width="23.7109375" style="4" customWidth="1"/>
    <col min="3906" max="3908" width="9.28515625" style="4" customWidth="1"/>
    <col min="3909" max="4062" width="9.28515625" style="4"/>
    <col min="4063" max="4063" width="26.28515625" style="4" customWidth="1"/>
    <col min="4064" max="4064" width="45.42578125" style="4" customWidth="1"/>
    <col min="4065" max="4065" width="14.85546875" style="4" customWidth="1"/>
    <col min="4066" max="4069" width="9.28515625" style="4" customWidth="1"/>
    <col min="4070" max="4070" width="0.140625" style="4" customWidth="1"/>
    <col min="4071" max="4071" width="29.42578125" style="4" customWidth="1"/>
    <col min="4072" max="4072" width="24.42578125" style="4" customWidth="1"/>
    <col min="4073" max="4073" width="26.7109375" style="4" customWidth="1"/>
    <col min="4074" max="4074" width="24.85546875" style="4" customWidth="1"/>
    <col min="4075" max="4075" width="21.28515625" style="4" customWidth="1"/>
    <col min="4076" max="4079" width="21.5703125" style="4" customWidth="1"/>
    <col min="4080" max="4080" width="28.28515625" style="4" customWidth="1"/>
    <col min="4081" max="4081" width="33" style="4" customWidth="1"/>
    <col min="4082" max="4082" width="22.85546875" style="4" customWidth="1"/>
    <col min="4083" max="4083" width="22" style="4" customWidth="1"/>
    <col min="4084" max="4084" width="24.7109375" style="4" customWidth="1"/>
    <col min="4085" max="4085" width="28.7109375" style="4" customWidth="1"/>
    <col min="4086" max="4086" width="23.5703125" style="4" customWidth="1"/>
    <col min="4087" max="4087" width="24.28515625" style="4" customWidth="1"/>
    <col min="4088" max="4088" width="23.5703125" style="4" customWidth="1"/>
    <col min="4089" max="4093" width="24.28515625" style="4" customWidth="1"/>
    <col min="4094" max="4094" width="22.7109375" style="4" customWidth="1"/>
    <col min="4095" max="4095" width="21.5703125" style="4" customWidth="1"/>
    <col min="4096" max="4096" width="21.42578125" style="4" customWidth="1"/>
    <col min="4097" max="4097" width="22.28515625" style="4" customWidth="1"/>
    <col min="4098" max="4098" width="22.5703125" style="4" customWidth="1"/>
    <col min="4099" max="4099" width="23.28515625" style="4" customWidth="1"/>
    <col min="4100" max="4101" width="20.5703125" style="4" customWidth="1"/>
    <col min="4102" max="4102" width="21.28515625" style="4" customWidth="1"/>
    <col min="4103" max="4103" width="21.42578125" style="4" customWidth="1"/>
    <col min="4104" max="4104" width="22" style="4" customWidth="1"/>
    <col min="4105" max="4106" width="21.5703125" style="4" customWidth="1"/>
    <col min="4107" max="4107" width="22.28515625" style="4" customWidth="1"/>
    <col min="4108" max="4108" width="25.42578125" style="4" customWidth="1"/>
    <col min="4109" max="4109" width="25.28515625" style="4" customWidth="1"/>
    <col min="4110" max="4110" width="28.7109375" style="4" customWidth="1"/>
    <col min="4111" max="4111" width="22.140625" style="4" customWidth="1"/>
    <col min="4112" max="4112" width="22" style="4" customWidth="1"/>
    <col min="4113" max="4113" width="24.5703125" style="4" customWidth="1"/>
    <col min="4114" max="4114" width="19.7109375" style="4" customWidth="1"/>
    <col min="4115" max="4115" width="29.140625" style="4" customWidth="1"/>
    <col min="4116" max="4116" width="25.140625" style="4" customWidth="1"/>
    <col min="4117" max="4118" width="29.42578125" style="4" customWidth="1"/>
    <col min="4119" max="4120" width="23.7109375" style="4" customWidth="1"/>
    <col min="4121" max="4121" width="26.7109375" style="4" customWidth="1"/>
    <col min="4122" max="4122" width="29.85546875" style="4" customWidth="1"/>
    <col min="4123" max="4125" width="23.28515625" style="4" customWidth="1"/>
    <col min="4126" max="4126" width="23.85546875" style="4" customWidth="1"/>
    <col min="4127" max="4127" width="26.7109375" style="4" customWidth="1"/>
    <col min="4128" max="4128" width="24.5703125" style="4" customWidth="1"/>
    <col min="4129" max="4129" width="26.85546875" style="4" customWidth="1"/>
    <col min="4130" max="4131" width="23.5703125" style="4" customWidth="1"/>
    <col min="4132" max="4132" width="28.7109375" style="4" customWidth="1"/>
    <col min="4133" max="4133" width="34.42578125" style="4" customWidth="1"/>
    <col min="4134" max="4134" width="29.7109375" style="4" customWidth="1"/>
    <col min="4135" max="4135" width="22" style="4" customWidth="1"/>
    <col min="4136" max="4136" width="23.7109375" style="4" customWidth="1"/>
    <col min="4137" max="4137" width="23.5703125" style="4" customWidth="1"/>
    <col min="4138" max="4141" width="22.140625" style="4" customWidth="1"/>
    <col min="4142" max="4142" width="25.28515625" style="4" customWidth="1"/>
    <col min="4143" max="4143" width="45.42578125" style="4" customWidth="1"/>
    <col min="4144" max="4144" width="24.7109375" style="4" customWidth="1"/>
    <col min="4145" max="4145" width="26.42578125" style="4" customWidth="1"/>
    <col min="4146" max="4146" width="29.28515625" style="4" customWidth="1"/>
    <col min="4147" max="4149" width="27.28515625" style="4" customWidth="1"/>
    <col min="4150" max="4150" width="31.7109375" style="4" customWidth="1"/>
    <col min="4151" max="4151" width="27.7109375" style="4" customWidth="1"/>
    <col min="4152" max="4154" width="28.28515625" style="4" customWidth="1"/>
    <col min="4155" max="4155" width="24.7109375" style="4" customWidth="1"/>
    <col min="4156" max="4156" width="24.140625" style="4" customWidth="1"/>
    <col min="4157" max="4159" width="22.28515625" style="4" customWidth="1"/>
    <col min="4160" max="4160" width="22.42578125" style="4" customWidth="1"/>
    <col min="4161" max="4161" width="23.7109375" style="4" customWidth="1"/>
    <col min="4162" max="4164" width="9.28515625" style="4" customWidth="1"/>
    <col min="4165" max="4318" width="9.28515625" style="4"/>
    <col min="4319" max="4319" width="26.28515625" style="4" customWidth="1"/>
    <col min="4320" max="4320" width="45.42578125" style="4" customWidth="1"/>
    <col min="4321" max="4321" width="14.85546875" style="4" customWidth="1"/>
    <col min="4322" max="4325" width="9.28515625" style="4" customWidth="1"/>
    <col min="4326" max="4326" width="0.140625" style="4" customWidth="1"/>
    <col min="4327" max="4327" width="29.42578125" style="4" customWidth="1"/>
    <col min="4328" max="4328" width="24.42578125" style="4" customWidth="1"/>
    <col min="4329" max="4329" width="26.7109375" style="4" customWidth="1"/>
    <col min="4330" max="4330" width="24.85546875" style="4" customWidth="1"/>
    <col min="4331" max="4331" width="21.28515625" style="4" customWidth="1"/>
    <col min="4332" max="4335" width="21.5703125" style="4" customWidth="1"/>
    <col min="4336" max="4336" width="28.28515625" style="4" customWidth="1"/>
    <col min="4337" max="4337" width="33" style="4" customWidth="1"/>
    <col min="4338" max="4338" width="22.85546875" style="4" customWidth="1"/>
    <col min="4339" max="4339" width="22" style="4" customWidth="1"/>
    <col min="4340" max="4340" width="24.7109375" style="4" customWidth="1"/>
    <col min="4341" max="4341" width="28.7109375" style="4" customWidth="1"/>
    <col min="4342" max="4342" width="23.5703125" style="4" customWidth="1"/>
    <col min="4343" max="4343" width="24.28515625" style="4" customWidth="1"/>
    <col min="4344" max="4344" width="23.5703125" style="4" customWidth="1"/>
    <col min="4345" max="4349" width="24.28515625" style="4" customWidth="1"/>
    <col min="4350" max="4350" width="22.7109375" style="4" customWidth="1"/>
    <col min="4351" max="4351" width="21.5703125" style="4" customWidth="1"/>
    <col min="4352" max="4352" width="21.42578125" style="4" customWidth="1"/>
    <col min="4353" max="4353" width="22.28515625" style="4" customWidth="1"/>
    <col min="4354" max="4354" width="22.5703125" style="4" customWidth="1"/>
    <col min="4355" max="4355" width="23.28515625" style="4" customWidth="1"/>
    <col min="4356" max="4357" width="20.5703125" style="4" customWidth="1"/>
    <col min="4358" max="4358" width="21.28515625" style="4" customWidth="1"/>
    <col min="4359" max="4359" width="21.42578125" style="4" customWidth="1"/>
    <col min="4360" max="4360" width="22" style="4" customWidth="1"/>
    <col min="4361" max="4362" width="21.5703125" style="4" customWidth="1"/>
    <col min="4363" max="4363" width="22.28515625" style="4" customWidth="1"/>
    <col min="4364" max="4364" width="25.42578125" style="4" customWidth="1"/>
    <col min="4365" max="4365" width="25.28515625" style="4" customWidth="1"/>
    <col min="4366" max="4366" width="28.7109375" style="4" customWidth="1"/>
    <col min="4367" max="4367" width="22.140625" style="4" customWidth="1"/>
    <col min="4368" max="4368" width="22" style="4" customWidth="1"/>
    <col min="4369" max="4369" width="24.5703125" style="4" customWidth="1"/>
    <col min="4370" max="4370" width="19.7109375" style="4" customWidth="1"/>
    <col min="4371" max="4371" width="29.140625" style="4" customWidth="1"/>
    <col min="4372" max="4372" width="25.140625" style="4" customWidth="1"/>
    <col min="4373" max="4374" width="29.42578125" style="4" customWidth="1"/>
    <col min="4375" max="4376" width="23.7109375" style="4" customWidth="1"/>
    <col min="4377" max="4377" width="26.7109375" style="4" customWidth="1"/>
    <col min="4378" max="4378" width="29.85546875" style="4" customWidth="1"/>
    <col min="4379" max="4381" width="23.28515625" style="4" customWidth="1"/>
    <col min="4382" max="4382" width="23.85546875" style="4" customWidth="1"/>
    <col min="4383" max="4383" width="26.7109375" style="4" customWidth="1"/>
    <col min="4384" max="4384" width="24.5703125" style="4" customWidth="1"/>
    <col min="4385" max="4385" width="26.85546875" style="4" customWidth="1"/>
    <col min="4386" max="4387" width="23.5703125" style="4" customWidth="1"/>
    <col min="4388" max="4388" width="28.7109375" style="4" customWidth="1"/>
    <col min="4389" max="4389" width="34.42578125" style="4" customWidth="1"/>
    <col min="4390" max="4390" width="29.7109375" style="4" customWidth="1"/>
    <col min="4391" max="4391" width="22" style="4" customWidth="1"/>
    <col min="4392" max="4392" width="23.7109375" style="4" customWidth="1"/>
    <col min="4393" max="4393" width="23.5703125" style="4" customWidth="1"/>
    <col min="4394" max="4397" width="22.140625" style="4" customWidth="1"/>
    <col min="4398" max="4398" width="25.28515625" style="4" customWidth="1"/>
    <col min="4399" max="4399" width="45.42578125" style="4" customWidth="1"/>
    <col min="4400" max="4400" width="24.7109375" style="4" customWidth="1"/>
    <col min="4401" max="4401" width="26.42578125" style="4" customWidth="1"/>
    <col min="4402" max="4402" width="29.28515625" style="4" customWidth="1"/>
    <col min="4403" max="4405" width="27.28515625" style="4" customWidth="1"/>
    <col min="4406" max="4406" width="31.7109375" style="4" customWidth="1"/>
    <col min="4407" max="4407" width="27.7109375" style="4" customWidth="1"/>
    <col min="4408" max="4410" width="28.28515625" style="4" customWidth="1"/>
    <col min="4411" max="4411" width="24.7109375" style="4" customWidth="1"/>
    <col min="4412" max="4412" width="24.140625" style="4" customWidth="1"/>
    <col min="4413" max="4415" width="22.28515625" style="4" customWidth="1"/>
    <col min="4416" max="4416" width="22.42578125" style="4" customWidth="1"/>
    <col min="4417" max="4417" width="23.7109375" style="4" customWidth="1"/>
    <col min="4418" max="4420" width="9.28515625" style="4" customWidth="1"/>
    <col min="4421" max="4574" width="9.28515625" style="4"/>
    <col min="4575" max="4575" width="26.28515625" style="4" customWidth="1"/>
    <col min="4576" max="4576" width="45.42578125" style="4" customWidth="1"/>
    <col min="4577" max="4577" width="14.85546875" style="4" customWidth="1"/>
    <col min="4578" max="4581" width="9.28515625" style="4" customWidth="1"/>
    <col min="4582" max="4582" width="0.140625" style="4" customWidth="1"/>
    <col min="4583" max="4583" width="29.42578125" style="4" customWidth="1"/>
    <col min="4584" max="4584" width="24.42578125" style="4" customWidth="1"/>
    <col min="4585" max="4585" width="26.7109375" style="4" customWidth="1"/>
    <col min="4586" max="4586" width="24.85546875" style="4" customWidth="1"/>
    <col min="4587" max="4587" width="21.28515625" style="4" customWidth="1"/>
    <col min="4588" max="4591" width="21.5703125" style="4" customWidth="1"/>
    <col min="4592" max="4592" width="28.28515625" style="4" customWidth="1"/>
    <col min="4593" max="4593" width="33" style="4" customWidth="1"/>
    <col min="4594" max="4594" width="22.85546875" style="4" customWidth="1"/>
    <col min="4595" max="4595" width="22" style="4" customWidth="1"/>
    <col min="4596" max="4596" width="24.7109375" style="4" customWidth="1"/>
    <col min="4597" max="4597" width="28.7109375" style="4" customWidth="1"/>
    <col min="4598" max="4598" width="23.5703125" style="4" customWidth="1"/>
    <col min="4599" max="4599" width="24.28515625" style="4" customWidth="1"/>
    <col min="4600" max="4600" width="23.5703125" style="4" customWidth="1"/>
    <col min="4601" max="4605" width="24.28515625" style="4" customWidth="1"/>
    <col min="4606" max="4606" width="22.7109375" style="4" customWidth="1"/>
    <col min="4607" max="4607" width="21.5703125" style="4" customWidth="1"/>
    <col min="4608" max="4608" width="21.42578125" style="4" customWidth="1"/>
    <col min="4609" max="4609" width="22.28515625" style="4" customWidth="1"/>
    <col min="4610" max="4610" width="22.5703125" style="4" customWidth="1"/>
    <col min="4611" max="4611" width="23.28515625" style="4" customWidth="1"/>
    <col min="4612" max="4613" width="20.5703125" style="4" customWidth="1"/>
    <col min="4614" max="4614" width="21.28515625" style="4" customWidth="1"/>
    <col min="4615" max="4615" width="21.42578125" style="4" customWidth="1"/>
    <col min="4616" max="4616" width="22" style="4" customWidth="1"/>
    <col min="4617" max="4618" width="21.5703125" style="4" customWidth="1"/>
    <col min="4619" max="4619" width="22.28515625" style="4" customWidth="1"/>
    <col min="4620" max="4620" width="25.42578125" style="4" customWidth="1"/>
    <col min="4621" max="4621" width="25.28515625" style="4" customWidth="1"/>
    <col min="4622" max="4622" width="28.7109375" style="4" customWidth="1"/>
    <col min="4623" max="4623" width="22.140625" style="4" customWidth="1"/>
    <col min="4624" max="4624" width="22" style="4" customWidth="1"/>
    <col min="4625" max="4625" width="24.5703125" style="4" customWidth="1"/>
    <col min="4626" max="4626" width="19.7109375" style="4" customWidth="1"/>
    <col min="4627" max="4627" width="29.140625" style="4" customWidth="1"/>
    <col min="4628" max="4628" width="25.140625" style="4" customWidth="1"/>
    <col min="4629" max="4630" width="29.42578125" style="4" customWidth="1"/>
    <col min="4631" max="4632" width="23.7109375" style="4" customWidth="1"/>
    <col min="4633" max="4633" width="26.7109375" style="4" customWidth="1"/>
    <col min="4634" max="4634" width="29.85546875" style="4" customWidth="1"/>
    <col min="4635" max="4637" width="23.28515625" style="4" customWidth="1"/>
    <col min="4638" max="4638" width="23.85546875" style="4" customWidth="1"/>
    <col min="4639" max="4639" width="26.7109375" style="4" customWidth="1"/>
    <col min="4640" max="4640" width="24.5703125" style="4" customWidth="1"/>
    <col min="4641" max="4641" width="26.85546875" style="4" customWidth="1"/>
    <col min="4642" max="4643" width="23.5703125" style="4" customWidth="1"/>
    <col min="4644" max="4644" width="28.7109375" style="4" customWidth="1"/>
    <col min="4645" max="4645" width="34.42578125" style="4" customWidth="1"/>
    <col min="4646" max="4646" width="29.7109375" style="4" customWidth="1"/>
    <col min="4647" max="4647" width="22" style="4" customWidth="1"/>
    <col min="4648" max="4648" width="23.7109375" style="4" customWidth="1"/>
    <col min="4649" max="4649" width="23.5703125" style="4" customWidth="1"/>
    <col min="4650" max="4653" width="22.140625" style="4" customWidth="1"/>
    <col min="4654" max="4654" width="25.28515625" style="4" customWidth="1"/>
    <col min="4655" max="4655" width="45.42578125" style="4" customWidth="1"/>
    <col min="4656" max="4656" width="24.7109375" style="4" customWidth="1"/>
    <col min="4657" max="4657" width="26.42578125" style="4" customWidth="1"/>
    <col min="4658" max="4658" width="29.28515625" style="4" customWidth="1"/>
    <col min="4659" max="4661" width="27.28515625" style="4" customWidth="1"/>
    <col min="4662" max="4662" width="31.7109375" style="4" customWidth="1"/>
    <col min="4663" max="4663" width="27.7109375" style="4" customWidth="1"/>
    <col min="4664" max="4666" width="28.28515625" style="4" customWidth="1"/>
    <col min="4667" max="4667" width="24.7109375" style="4" customWidth="1"/>
    <col min="4668" max="4668" width="24.140625" style="4" customWidth="1"/>
    <col min="4669" max="4671" width="22.28515625" style="4" customWidth="1"/>
    <col min="4672" max="4672" width="22.42578125" style="4" customWidth="1"/>
    <col min="4673" max="4673" width="23.7109375" style="4" customWidth="1"/>
    <col min="4674" max="4676" width="9.28515625" style="4" customWidth="1"/>
    <col min="4677" max="4830" width="9.28515625" style="4"/>
    <col min="4831" max="4831" width="26.28515625" style="4" customWidth="1"/>
    <col min="4832" max="4832" width="45.42578125" style="4" customWidth="1"/>
    <col min="4833" max="4833" width="14.85546875" style="4" customWidth="1"/>
    <col min="4834" max="4837" width="9.28515625" style="4" customWidth="1"/>
    <col min="4838" max="4838" width="0.140625" style="4" customWidth="1"/>
    <col min="4839" max="4839" width="29.42578125" style="4" customWidth="1"/>
    <col min="4840" max="4840" width="24.42578125" style="4" customWidth="1"/>
    <col min="4841" max="4841" width="26.7109375" style="4" customWidth="1"/>
    <col min="4842" max="4842" width="24.85546875" style="4" customWidth="1"/>
    <col min="4843" max="4843" width="21.28515625" style="4" customWidth="1"/>
    <col min="4844" max="4847" width="21.5703125" style="4" customWidth="1"/>
    <col min="4848" max="4848" width="28.28515625" style="4" customWidth="1"/>
    <col min="4849" max="4849" width="33" style="4" customWidth="1"/>
    <col min="4850" max="4850" width="22.85546875" style="4" customWidth="1"/>
    <col min="4851" max="4851" width="22" style="4" customWidth="1"/>
    <col min="4852" max="4852" width="24.7109375" style="4" customWidth="1"/>
    <col min="4853" max="4853" width="28.7109375" style="4" customWidth="1"/>
    <col min="4854" max="4854" width="23.5703125" style="4" customWidth="1"/>
    <col min="4855" max="4855" width="24.28515625" style="4" customWidth="1"/>
    <col min="4856" max="4856" width="23.5703125" style="4" customWidth="1"/>
    <col min="4857" max="4861" width="24.28515625" style="4" customWidth="1"/>
    <col min="4862" max="4862" width="22.7109375" style="4" customWidth="1"/>
    <col min="4863" max="4863" width="21.5703125" style="4" customWidth="1"/>
    <col min="4864" max="4864" width="21.42578125" style="4" customWidth="1"/>
    <col min="4865" max="4865" width="22.28515625" style="4" customWidth="1"/>
    <col min="4866" max="4866" width="22.5703125" style="4" customWidth="1"/>
    <col min="4867" max="4867" width="23.28515625" style="4" customWidth="1"/>
    <col min="4868" max="4869" width="20.5703125" style="4" customWidth="1"/>
    <col min="4870" max="4870" width="21.28515625" style="4" customWidth="1"/>
    <col min="4871" max="4871" width="21.42578125" style="4" customWidth="1"/>
    <col min="4872" max="4872" width="22" style="4" customWidth="1"/>
    <col min="4873" max="4874" width="21.5703125" style="4" customWidth="1"/>
    <col min="4875" max="4875" width="22.28515625" style="4" customWidth="1"/>
    <col min="4876" max="4876" width="25.42578125" style="4" customWidth="1"/>
    <col min="4877" max="4877" width="25.28515625" style="4" customWidth="1"/>
    <col min="4878" max="4878" width="28.7109375" style="4" customWidth="1"/>
    <col min="4879" max="4879" width="22.140625" style="4" customWidth="1"/>
    <col min="4880" max="4880" width="22" style="4" customWidth="1"/>
    <col min="4881" max="4881" width="24.5703125" style="4" customWidth="1"/>
    <col min="4882" max="4882" width="19.7109375" style="4" customWidth="1"/>
    <col min="4883" max="4883" width="29.140625" style="4" customWidth="1"/>
    <col min="4884" max="4884" width="25.140625" style="4" customWidth="1"/>
    <col min="4885" max="4886" width="29.42578125" style="4" customWidth="1"/>
    <col min="4887" max="4888" width="23.7109375" style="4" customWidth="1"/>
    <col min="4889" max="4889" width="26.7109375" style="4" customWidth="1"/>
    <col min="4890" max="4890" width="29.85546875" style="4" customWidth="1"/>
    <col min="4891" max="4893" width="23.28515625" style="4" customWidth="1"/>
    <col min="4894" max="4894" width="23.85546875" style="4" customWidth="1"/>
    <col min="4895" max="4895" width="26.7109375" style="4" customWidth="1"/>
    <col min="4896" max="4896" width="24.5703125" style="4" customWidth="1"/>
    <col min="4897" max="4897" width="26.85546875" style="4" customWidth="1"/>
    <col min="4898" max="4899" width="23.5703125" style="4" customWidth="1"/>
    <col min="4900" max="4900" width="28.7109375" style="4" customWidth="1"/>
    <col min="4901" max="4901" width="34.42578125" style="4" customWidth="1"/>
    <col min="4902" max="4902" width="29.7109375" style="4" customWidth="1"/>
    <col min="4903" max="4903" width="22" style="4" customWidth="1"/>
    <col min="4904" max="4904" width="23.7109375" style="4" customWidth="1"/>
    <col min="4905" max="4905" width="23.5703125" style="4" customWidth="1"/>
    <col min="4906" max="4909" width="22.140625" style="4" customWidth="1"/>
    <col min="4910" max="4910" width="25.28515625" style="4" customWidth="1"/>
    <col min="4911" max="4911" width="45.42578125" style="4" customWidth="1"/>
    <col min="4912" max="4912" width="24.7109375" style="4" customWidth="1"/>
    <col min="4913" max="4913" width="26.42578125" style="4" customWidth="1"/>
    <col min="4914" max="4914" width="29.28515625" style="4" customWidth="1"/>
    <col min="4915" max="4917" width="27.28515625" style="4" customWidth="1"/>
    <col min="4918" max="4918" width="31.7109375" style="4" customWidth="1"/>
    <col min="4919" max="4919" width="27.7109375" style="4" customWidth="1"/>
    <col min="4920" max="4922" width="28.28515625" style="4" customWidth="1"/>
    <col min="4923" max="4923" width="24.7109375" style="4" customWidth="1"/>
    <col min="4924" max="4924" width="24.140625" style="4" customWidth="1"/>
    <col min="4925" max="4927" width="22.28515625" style="4" customWidth="1"/>
    <col min="4928" max="4928" width="22.42578125" style="4" customWidth="1"/>
    <col min="4929" max="4929" width="23.7109375" style="4" customWidth="1"/>
    <col min="4930" max="4932" width="9.28515625" style="4" customWidth="1"/>
    <col min="4933" max="5086" width="9.28515625" style="4"/>
    <col min="5087" max="5087" width="26.28515625" style="4" customWidth="1"/>
    <col min="5088" max="5088" width="45.42578125" style="4" customWidth="1"/>
    <col min="5089" max="5089" width="14.85546875" style="4" customWidth="1"/>
    <col min="5090" max="5093" width="9.28515625" style="4" customWidth="1"/>
    <col min="5094" max="5094" width="0.140625" style="4" customWidth="1"/>
    <col min="5095" max="5095" width="29.42578125" style="4" customWidth="1"/>
    <col min="5096" max="5096" width="24.42578125" style="4" customWidth="1"/>
    <col min="5097" max="5097" width="26.7109375" style="4" customWidth="1"/>
    <col min="5098" max="5098" width="24.85546875" style="4" customWidth="1"/>
    <col min="5099" max="5099" width="21.28515625" style="4" customWidth="1"/>
    <col min="5100" max="5103" width="21.5703125" style="4" customWidth="1"/>
    <col min="5104" max="5104" width="28.28515625" style="4" customWidth="1"/>
    <col min="5105" max="5105" width="33" style="4" customWidth="1"/>
    <col min="5106" max="5106" width="22.85546875" style="4" customWidth="1"/>
    <col min="5107" max="5107" width="22" style="4" customWidth="1"/>
    <col min="5108" max="5108" width="24.7109375" style="4" customWidth="1"/>
    <col min="5109" max="5109" width="28.7109375" style="4" customWidth="1"/>
    <col min="5110" max="5110" width="23.5703125" style="4" customWidth="1"/>
    <col min="5111" max="5111" width="24.28515625" style="4" customWidth="1"/>
    <col min="5112" max="5112" width="23.5703125" style="4" customWidth="1"/>
    <col min="5113" max="5117" width="24.28515625" style="4" customWidth="1"/>
    <col min="5118" max="5118" width="22.7109375" style="4" customWidth="1"/>
    <col min="5119" max="5119" width="21.5703125" style="4" customWidth="1"/>
    <col min="5120" max="5120" width="21.42578125" style="4" customWidth="1"/>
    <col min="5121" max="5121" width="22.28515625" style="4" customWidth="1"/>
    <col min="5122" max="5122" width="22.5703125" style="4" customWidth="1"/>
    <col min="5123" max="5123" width="23.28515625" style="4" customWidth="1"/>
    <col min="5124" max="5125" width="20.5703125" style="4" customWidth="1"/>
    <col min="5126" max="5126" width="21.28515625" style="4" customWidth="1"/>
    <col min="5127" max="5127" width="21.42578125" style="4" customWidth="1"/>
    <col min="5128" max="5128" width="22" style="4" customWidth="1"/>
    <col min="5129" max="5130" width="21.5703125" style="4" customWidth="1"/>
    <col min="5131" max="5131" width="22.28515625" style="4" customWidth="1"/>
    <col min="5132" max="5132" width="25.42578125" style="4" customWidth="1"/>
    <col min="5133" max="5133" width="25.28515625" style="4" customWidth="1"/>
    <col min="5134" max="5134" width="28.7109375" style="4" customWidth="1"/>
    <col min="5135" max="5135" width="22.140625" style="4" customWidth="1"/>
    <col min="5136" max="5136" width="22" style="4" customWidth="1"/>
    <col min="5137" max="5137" width="24.5703125" style="4" customWidth="1"/>
    <col min="5138" max="5138" width="19.7109375" style="4" customWidth="1"/>
    <col min="5139" max="5139" width="29.140625" style="4" customWidth="1"/>
    <col min="5140" max="5140" width="25.140625" style="4" customWidth="1"/>
    <col min="5141" max="5142" width="29.42578125" style="4" customWidth="1"/>
    <col min="5143" max="5144" width="23.7109375" style="4" customWidth="1"/>
    <col min="5145" max="5145" width="26.7109375" style="4" customWidth="1"/>
    <col min="5146" max="5146" width="29.85546875" style="4" customWidth="1"/>
    <col min="5147" max="5149" width="23.28515625" style="4" customWidth="1"/>
    <col min="5150" max="5150" width="23.85546875" style="4" customWidth="1"/>
    <col min="5151" max="5151" width="26.7109375" style="4" customWidth="1"/>
    <col min="5152" max="5152" width="24.5703125" style="4" customWidth="1"/>
    <col min="5153" max="5153" width="26.85546875" style="4" customWidth="1"/>
    <col min="5154" max="5155" width="23.5703125" style="4" customWidth="1"/>
    <col min="5156" max="5156" width="28.7109375" style="4" customWidth="1"/>
    <col min="5157" max="5157" width="34.42578125" style="4" customWidth="1"/>
    <col min="5158" max="5158" width="29.7109375" style="4" customWidth="1"/>
    <col min="5159" max="5159" width="22" style="4" customWidth="1"/>
    <col min="5160" max="5160" width="23.7109375" style="4" customWidth="1"/>
    <col min="5161" max="5161" width="23.5703125" style="4" customWidth="1"/>
    <col min="5162" max="5165" width="22.140625" style="4" customWidth="1"/>
    <col min="5166" max="5166" width="25.28515625" style="4" customWidth="1"/>
    <col min="5167" max="5167" width="45.42578125" style="4" customWidth="1"/>
    <col min="5168" max="5168" width="24.7109375" style="4" customWidth="1"/>
    <col min="5169" max="5169" width="26.42578125" style="4" customWidth="1"/>
    <col min="5170" max="5170" width="29.28515625" style="4" customWidth="1"/>
    <col min="5171" max="5173" width="27.28515625" style="4" customWidth="1"/>
    <col min="5174" max="5174" width="31.7109375" style="4" customWidth="1"/>
    <col min="5175" max="5175" width="27.7109375" style="4" customWidth="1"/>
    <col min="5176" max="5178" width="28.28515625" style="4" customWidth="1"/>
    <col min="5179" max="5179" width="24.7109375" style="4" customWidth="1"/>
    <col min="5180" max="5180" width="24.140625" style="4" customWidth="1"/>
    <col min="5181" max="5183" width="22.28515625" style="4" customWidth="1"/>
    <col min="5184" max="5184" width="22.42578125" style="4" customWidth="1"/>
    <col min="5185" max="5185" width="23.7109375" style="4" customWidth="1"/>
    <col min="5186" max="5188" width="9.28515625" style="4" customWidth="1"/>
    <col min="5189" max="5342" width="9.28515625" style="4"/>
    <col min="5343" max="5343" width="26.28515625" style="4" customWidth="1"/>
    <col min="5344" max="5344" width="45.42578125" style="4" customWidth="1"/>
    <col min="5345" max="5345" width="14.85546875" style="4" customWidth="1"/>
    <col min="5346" max="5349" width="9.28515625" style="4" customWidth="1"/>
    <col min="5350" max="5350" width="0.140625" style="4" customWidth="1"/>
    <col min="5351" max="5351" width="29.42578125" style="4" customWidth="1"/>
    <col min="5352" max="5352" width="24.42578125" style="4" customWidth="1"/>
    <col min="5353" max="5353" width="26.7109375" style="4" customWidth="1"/>
    <col min="5354" max="5354" width="24.85546875" style="4" customWidth="1"/>
    <col min="5355" max="5355" width="21.28515625" style="4" customWidth="1"/>
    <col min="5356" max="5359" width="21.5703125" style="4" customWidth="1"/>
    <col min="5360" max="5360" width="28.28515625" style="4" customWidth="1"/>
    <col min="5361" max="5361" width="33" style="4" customWidth="1"/>
    <col min="5362" max="5362" width="22.85546875" style="4" customWidth="1"/>
    <col min="5363" max="5363" width="22" style="4" customWidth="1"/>
    <col min="5364" max="5364" width="24.7109375" style="4" customWidth="1"/>
    <col min="5365" max="5365" width="28.7109375" style="4" customWidth="1"/>
    <col min="5366" max="5366" width="23.5703125" style="4" customWidth="1"/>
    <col min="5367" max="5367" width="24.28515625" style="4" customWidth="1"/>
    <col min="5368" max="5368" width="23.5703125" style="4" customWidth="1"/>
    <col min="5369" max="5373" width="24.28515625" style="4" customWidth="1"/>
    <col min="5374" max="5374" width="22.7109375" style="4" customWidth="1"/>
    <col min="5375" max="5375" width="21.5703125" style="4" customWidth="1"/>
    <col min="5376" max="5376" width="21.42578125" style="4" customWidth="1"/>
    <col min="5377" max="5377" width="22.28515625" style="4" customWidth="1"/>
    <col min="5378" max="5378" width="22.5703125" style="4" customWidth="1"/>
    <col min="5379" max="5379" width="23.28515625" style="4" customWidth="1"/>
    <col min="5380" max="5381" width="20.5703125" style="4" customWidth="1"/>
    <col min="5382" max="5382" width="21.28515625" style="4" customWidth="1"/>
    <col min="5383" max="5383" width="21.42578125" style="4" customWidth="1"/>
    <col min="5384" max="5384" width="22" style="4" customWidth="1"/>
    <col min="5385" max="5386" width="21.5703125" style="4" customWidth="1"/>
    <col min="5387" max="5387" width="22.28515625" style="4" customWidth="1"/>
    <col min="5388" max="5388" width="25.42578125" style="4" customWidth="1"/>
    <col min="5389" max="5389" width="25.28515625" style="4" customWidth="1"/>
    <col min="5390" max="5390" width="28.7109375" style="4" customWidth="1"/>
    <col min="5391" max="5391" width="22.140625" style="4" customWidth="1"/>
    <col min="5392" max="5392" width="22" style="4" customWidth="1"/>
    <col min="5393" max="5393" width="24.5703125" style="4" customWidth="1"/>
    <col min="5394" max="5394" width="19.7109375" style="4" customWidth="1"/>
    <col min="5395" max="5395" width="29.140625" style="4" customWidth="1"/>
    <col min="5396" max="5396" width="25.140625" style="4" customWidth="1"/>
    <col min="5397" max="5398" width="29.42578125" style="4" customWidth="1"/>
    <col min="5399" max="5400" width="23.7109375" style="4" customWidth="1"/>
    <col min="5401" max="5401" width="26.7109375" style="4" customWidth="1"/>
    <col min="5402" max="5402" width="29.85546875" style="4" customWidth="1"/>
    <col min="5403" max="5405" width="23.28515625" style="4" customWidth="1"/>
    <col min="5406" max="5406" width="23.85546875" style="4" customWidth="1"/>
    <col min="5407" max="5407" width="26.7109375" style="4" customWidth="1"/>
    <col min="5408" max="5408" width="24.5703125" style="4" customWidth="1"/>
    <col min="5409" max="5409" width="26.85546875" style="4" customWidth="1"/>
    <col min="5410" max="5411" width="23.5703125" style="4" customWidth="1"/>
    <col min="5412" max="5412" width="28.7109375" style="4" customWidth="1"/>
    <col min="5413" max="5413" width="34.42578125" style="4" customWidth="1"/>
    <col min="5414" max="5414" width="29.7109375" style="4" customWidth="1"/>
    <col min="5415" max="5415" width="22" style="4" customWidth="1"/>
    <col min="5416" max="5416" width="23.7109375" style="4" customWidth="1"/>
    <col min="5417" max="5417" width="23.5703125" style="4" customWidth="1"/>
    <col min="5418" max="5421" width="22.140625" style="4" customWidth="1"/>
    <col min="5422" max="5422" width="25.28515625" style="4" customWidth="1"/>
    <col min="5423" max="5423" width="45.42578125" style="4" customWidth="1"/>
    <col min="5424" max="5424" width="24.7109375" style="4" customWidth="1"/>
    <col min="5425" max="5425" width="26.42578125" style="4" customWidth="1"/>
    <col min="5426" max="5426" width="29.28515625" style="4" customWidth="1"/>
    <col min="5427" max="5429" width="27.28515625" style="4" customWidth="1"/>
    <col min="5430" max="5430" width="31.7109375" style="4" customWidth="1"/>
    <col min="5431" max="5431" width="27.7109375" style="4" customWidth="1"/>
    <col min="5432" max="5434" width="28.28515625" style="4" customWidth="1"/>
    <col min="5435" max="5435" width="24.7109375" style="4" customWidth="1"/>
    <col min="5436" max="5436" width="24.140625" style="4" customWidth="1"/>
    <col min="5437" max="5439" width="22.28515625" style="4" customWidth="1"/>
    <col min="5440" max="5440" width="22.42578125" style="4" customWidth="1"/>
    <col min="5441" max="5441" width="23.7109375" style="4" customWidth="1"/>
    <col min="5442" max="5444" width="9.28515625" style="4" customWidth="1"/>
    <col min="5445" max="5598" width="9.28515625" style="4"/>
    <col min="5599" max="5599" width="26.28515625" style="4" customWidth="1"/>
    <col min="5600" max="5600" width="45.42578125" style="4" customWidth="1"/>
    <col min="5601" max="5601" width="14.85546875" style="4" customWidth="1"/>
    <col min="5602" max="5605" width="9.28515625" style="4" customWidth="1"/>
    <col min="5606" max="5606" width="0.140625" style="4" customWidth="1"/>
    <col min="5607" max="5607" width="29.42578125" style="4" customWidth="1"/>
    <col min="5608" max="5608" width="24.42578125" style="4" customWidth="1"/>
    <col min="5609" max="5609" width="26.7109375" style="4" customWidth="1"/>
    <col min="5610" max="5610" width="24.85546875" style="4" customWidth="1"/>
    <col min="5611" max="5611" width="21.28515625" style="4" customWidth="1"/>
    <col min="5612" max="5615" width="21.5703125" style="4" customWidth="1"/>
    <col min="5616" max="5616" width="28.28515625" style="4" customWidth="1"/>
    <col min="5617" max="5617" width="33" style="4" customWidth="1"/>
    <col min="5618" max="5618" width="22.85546875" style="4" customWidth="1"/>
    <col min="5619" max="5619" width="22" style="4" customWidth="1"/>
    <col min="5620" max="5620" width="24.7109375" style="4" customWidth="1"/>
    <col min="5621" max="5621" width="28.7109375" style="4" customWidth="1"/>
    <col min="5622" max="5622" width="23.5703125" style="4" customWidth="1"/>
    <col min="5623" max="5623" width="24.28515625" style="4" customWidth="1"/>
    <col min="5624" max="5624" width="23.5703125" style="4" customWidth="1"/>
    <col min="5625" max="5629" width="24.28515625" style="4" customWidth="1"/>
    <col min="5630" max="5630" width="22.7109375" style="4" customWidth="1"/>
    <col min="5631" max="5631" width="21.5703125" style="4" customWidth="1"/>
    <col min="5632" max="5632" width="21.42578125" style="4" customWidth="1"/>
    <col min="5633" max="5633" width="22.28515625" style="4" customWidth="1"/>
    <col min="5634" max="5634" width="22.5703125" style="4" customWidth="1"/>
    <col min="5635" max="5635" width="23.28515625" style="4" customWidth="1"/>
    <col min="5636" max="5637" width="20.5703125" style="4" customWidth="1"/>
    <col min="5638" max="5638" width="21.28515625" style="4" customWidth="1"/>
    <col min="5639" max="5639" width="21.42578125" style="4" customWidth="1"/>
    <col min="5640" max="5640" width="22" style="4" customWidth="1"/>
    <col min="5641" max="5642" width="21.5703125" style="4" customWidth="1"/>
    <col min="5643" max="5643" width="22.28515625" style="4" customWidth="1"/>
    <col min="5644" max="5644" width="25.42578125" style="4" customWidth="1"/>
    <col min="5645" max="5645" width="25.28515625" style="4" customWidth="1"/>
    <col min="5646" max="5646" width="28.7109375" style="4" customWidth="1"/>
    <col min="5647" max="5647" width="22.140625" style="4" customWidth="1"/>
    <col min="5648" max="5648" width="22" style="4" customWidth="1"/>
    <col min="5649" max="5649" width="24.5703125" style="4" customWidth="1"/>
    <col min="5650" max="5650" width="19.7109375" style="4" customWidth="1"/>
    <col min="5651" max="5651" width="29.140625" style="4" customWidth="1"/>
    <col min="5652" max="5652" width="25.140625" style="4" customWidth="1"/>
    <col min="5653" max="5654" width="29.42578125" style="4" customWidth="1"/>
    <col min="5655" max="5656" width="23.7109375" style="4" customWidth="1"/>
    <col min="5657" max="5657" width="26.7109375" style="4" customWidth="1"/>
    <col min="5658" max="5658" width="29.85546875" style="4" customWidth="1"/>
    <col min="5659" max="5661" width="23.28515625" style="4" customWidth="1"/>
    <col min="5662" max="5662" width="23.85546875" style="4" customWidth="1"/>
    <col min="5663" max="5663" width="26.7109375" style="4" customWidth="1"/>
    <col min="5664" max="5664" width="24.5703125" style="4" customWidth="1"/>
    <col min="5665" max="5665" width="26.85546875" style="4" customWidth="1"/>
    <col min="5666" max="5667" width="23.5703125" style="4" customWidth="1"/>
    <col min="5668" max="5668" width="28.7109375" style="4" customWidth="1"/>
    <col min="5669" max="5669" width="34.42578125" style="4" customWidth="1"/>
    <col min="5670" max="5670" width="29.7109375" style="4" customWidth="1"/>
    <col min="5671" max="5671" width="22" style="4" customWidth="1"/>
    <col min="5672" max="5672" width="23.7109375" style="4" customWidth="1"/>
    <col min="5673" max="5673" width="23.5703125" style="4" customWidth="1"/>
    <col min="5674" max="5677" width="22.140625" style="4" customWidth="1"/>
    <col min="5678" max="5678" width="25.28515625" style="4" customWidth="1"/>
    <col min="5679" max="5679" width="45.42578125" style="4" customWidth="1"/>
    <col min="5680" max="5680" width="24.7109375" style="4" customWidth="1"/>
    <col min="5681" max="5681" width="26.42578125" style="4" customWidth="1"/>
    <col min="5682" max="5682" width="29.28515625" style="4" customWidth="1"/>
    <col min="5683" max="5685" width="27.28515625" style="4" customWidth="1"/>
    <col min="5686" max="5686" width="31.7109375" style="4" customWidth="1"/>
    <col min="5687" max="5687" width="27.7109375" style="4" customWidth="1"/>
    <col min="5688" max="5690" width="28.28515625" style="4" customWidth="1"/>
    <col min="5691" max="5691" width="24.7109375" style="4" customWidth="1"/>
    <col min="5692" max="5692" width="24.140625" style="4" customWidth="1"/>
    <col min="5693" max="5695" width="22.28515625" style="4" customWidth="1"/>
    <col min="5696" max="5696" width="22.42578125" style="4" customWidth="1"/>
    <col min="5697" max="5697" width="23.7109375" style="4" customWidth="1"/>
    <col min="5698" max="5700" width="9.28515625" style="4" customWidth="1"/>
    <col min="5701" max="5854" width="9.28515625" style="4"/>
    <col min="5855" max="5855" width="26.28515625" style="4" customWidth="1"/>
    <col min="5856" max="5856" width="45.42578125" style="4" customWidth="1"/>
    <col min="5857" max="5857" width="14.85546875" style="4" customWidth="1"/>
    <col min="5858" max="5861" width="9.28515625" style="4" customWidth="1"/>
    <col min="5862" max="5862" width="0.140625" style="4" customWidth="1"/>
    <col min="5863" max="5863" width="29.42578125" style="4" customWidth="1"/>
    <col min="5864" max="5864" width="24.42578125" style="4" customWidth="1"/>
    <col min="5865" max="5865" width="26.7109375" style="4" customWidth="1"/>
    <col min="5866" max="5866" width="24.85546875" style="4" customWidth="1"/>
    <col min="5867" max="5867" width="21.28515625" style="4" customWidth="1"/>
    <col min="5868" max="5871" width="21.5703125" style="4" customWidth="1"/>
    <col min="5872" max="5872" width="28.28515625" style="4" customWidth="1"/>
    <col min="5873" max="5873" width="33" style="4" customWidth="1"/>
    <col min="5874" max="5874" width="22.85546875" style="4" customWidth="1"/>
    <col min="5875" max="5875" width="22" style="4" customWidth="1"/>
    <col min="5876" max="5876" width="24.7109375" style="4" customWidth="1"/>
    <col min="5877" max="5877" width="28.7109375" style="4" customWidth="1"/>
    <col min="5878" max="5878" width="23.5703125" style="4" customWidth="1"/>
    <col min="5879" max="5879" width="24.28515625" style="4" customWidth="1"/>
    <col min="5880" max="5880" width="23.5703125" style="4" customWidth="1"/>
    <col min="5881" max="5885" width="24.28515625" style="4" customWidth="1"/>
    <col min="5886" max="5886" width="22.7109375" style="4" customWidth="1"/>
    <col min="5887" max="5887" width="21.5703125" style="4" customWidth="1"/>
    <col min="5888" max="5888" width="21.42578125" style="4" customWidth="1"/>
    <col min="5889" max="5889" width="22.28515625" style="4" customWidth="1"/>
    <col min="5890" max="5890" width="22.5703125" style="4" customWidth="1"/>
    <col min="5891" max="5891" width="23.28515625" style="4" customWidth="1"/>
    <col min="5892" max="5893" width="20.5703125" style="4" customWidth="1"/>
    <col min="5894" max="5894" width="21.28515625" style="4" customWidth="1"/>
    <col min="5895" max="5895" width="21.42578125" style="4" customWidth="1"/>
    <col min="5896" max="5896" width="22" style="4" customWidth="1"/>
    <col min="5897" max="5898" width="21.5703125" style="4" customWidth="1"/>
    <col min="5899" max="5899" width="22.28515625" style="4" customWidth="1"/>
    <col min="5900" max="5900" width="25.42578125" style="4" customWidth="1"/>
    <col min="5901" max="5901" width="25.28515625" style="4" customWidth="1"/>
    <col min="5902" max="5902" width="28.7109375" style="4" customWidth="1"/>
    <col min="5903" max="5903" width="22.140625" style="4" customWidth="1"/>
    <col min="5904" max="5904" width="22" style="4" customWidth="1"/>
    <col min="5905" max="5905" width="24.5703125" style="4" customWidth="1"/>
    <col min="5906" max="5906" width="19.7109375" style="4" customWidth="1"/>
    <col min="5907" max="5907" width="29.140625" style="4" customWidth="1"/>
    <col min="5908" max="5908" width="25.140625" style="4" customWidth="1"/>
    <col min="5909" max="5910" width="29.42578125" style="4" customWidth="1"/>
    <col min="5911" max="5912" width="23.7109375" style="4" customWidth="1"/>
    <col min="5913" max="5913" width="26.7109375" style="4" customWidth="1"/>
    <col min="5914" max="5914" width="29.85546875" style="4" customWidth="1"/>
    <col min="5915" max="5917" width="23.28515625" style="4" customWidth="1"/>
    <col min="5918" max="5918" width="23.85546875" style="4" customWidth="1"/>
    <col min="5919" max="5919" width="26.7109375" style="4" customWidth="1"/>
    <col min="5920" max="5920" width="24.5703125" style="4" customWidth="1"/>
    <col min="5921" max="5921" width="26.85546875" style="4" customWidth="1"/>
    <col min="5922" max="5923" width="23.5703125" style="4" customWidth="1"/>
    <col min="5924" max="5924" width="28.7109375" style="4" customWidth="1"/>
    <col min="5925" max="5925" width="34.42578125" style="4" customWidth="1"/>
    <col min="5926" max="5926" width="29.7109375" style="4" customWidth="1"/>
    <col min="5927" max="5927" width="22" style="4" customWidth="1"/>
    <col min="5928" max="5928" width="23.7109375" style="4" customWidth="1"/>
    <col min="5929" max="5929" width="23.5703125" style="4" customWidth="1"/>
    <col min="5930" max="5933" width="22.140625" style="4" customWidth="1"/>
    <col min="5934" max="5934" width="25.28515625" style="4" customWidth="1"/>
    <col min="5935" max="5935" width="45.42578125" style="4" customWidth="1"/>
    <col min="5936" max="5936" width="24.7109375" style="4" customWidth="1"/>
    <col min="5937" max="5937" width="26.42578125" style="4" customWidth="1"/>
    <col min="5938" max="5938" width="29.28515625" style="4" customWidth="1"/>
    <col min="5939" max="5941" width="27.28515625" style="4" customWidth="1"/>
    <col min="5942" max="5942" width="31.7109375" style="4" customWidth="1"/>
    <col min="5943" max="5943" width="27.7109375" style="4" customWidth="1"/>
    <col min="5944" max="5946" width="28.28515625" style="4" customWidth="1"/>
    <col min="5947" max="5947" width="24.7109375" style="4" customWidth="1"/>
    <col min="5948" max="5948" width="24.140625" style="4" customWidth="1"/>
    <col min="5949" max="5951" width="22.28515625" style="4" customWidth="1"/>
    <col min="5952" max="5952" width="22.42578125" style="4" customWidth="1"/>
    <col min="5953" max="5953" width="23.7109375" style="4" customWidth="1"/>
    <col min="5954" max="5956" width="9.28515625" style="4" customWidth="1"/>
    <col min="5957" max="6110" width="9.28515625" style="4"/>
    <col min="6111" max="6111" width="26.28515625" style="4" customWidth="1"/>
    <col min="6112" max="6112" width="45.42578125" style="4" customWidth="1"/>
    <col min="6113" max="6113" width="14.85546875" style="4" customWidth="1"/>
    <col min="6114" max="6117" width="9.28515625" style="4" customWidth="1"/>
    <col min="6118" max="6118" width="0.140625" style="4" customWidth="1"/>
    <col min="6119" max="6119" width="29.42578125" style="4" customWidth="1"/>
    <col min="6120" max="6120" width="24.42578125" style="4" customWidth="1"/>
    <col min="6121" max="6121" width="26.7109375" style="4" customWidth="1"/>
    <col min="6122" max="6122" width="24.85546875" style="4" customWidth="1"/>
    <col min="6123" max="6123" width="21.28515625" style="4" customWidth="1"/>
    <col min="6124" max="6127" width="21.5703125" style="4" customWidth="1"/>
    <col min="6128" max="6128" width="28.28515625" style="4" customWidth="1"/>
    <col min="6129" max="6129" width="33" style="4" customWidth="1"/>
    <col min="6130" max="6130" width="22.85546875" style="4" customWidth="1"/>
    <col min="6131" max="6131" width="22" style="4" customWidth="1"/>
    <col min="6132" max="6132" width="24.7109375" style="4" customWidth="1"/>
    <col min="6133" max="6133" width="28.7109375" style="4" customWidth="1"/>
    <col min="6134" max="6134" width="23.5703125" style="4" customWidth="1"/>
    <col min="6135" max="6135" width="24.28515625" style="4" customWidth="1"/>
    <col min="6136" max="6136" width="23.5703125" style="4" customWidth="1"/>
    <col min="6137" max="6141" width="24.28515625" style="4" customWidth="1"/>
    <col min="6142" max="6142" width="22.7109375" style="4" customWidth="1"/>
    <col min="6143" max="6143" width="21.5703125" style="4" customWidth="1"/>
    <col min="6144" max="6144" width="21.42578125" style="4" customWidth="1"/>
    <col min="6145" max="6145" width="22.28515625" style="4" customWidth="1"/>
    <col min="6146" max="6146" width="22.5703125" style="4" customWidth="1"/>
    <col min="6147" max="6147" width="23.28515625" style="4" customWidth="1"/>
    <col min="6148" max="6149" width="20.5703125" style="4" customWidth="1"/>
    <col min="6150" max="6150" width="21.28515625" style="4" customWidth="1"/>
    <col min="6151" max="6151" width="21.42578125" style="4" customWidth="1"/>
    <col min="6152" max="6152" width="22" style="4" customWidth="1"/>
    <col min="6153" max="6154" width="21.5703125" style="4" customWidth="1"/>
    <col min="6155" max="6155" width="22.28515625" style="4" customWidth="1"/>
    <col min="6156" max="6156" width="25.42578125" style="4" customWidth="1"/>
    <col min="6157" max="6157" width="25.28515625" style="4" customWidth="1"/>
    <col min="6158" max="6158" width="28.7109375" style="4" customWidth="1"/>
    <col min="6159" max="6159" width="22.140625" style="4" customWidth="1"/>
    <col min="6160" max="6160" width="22" style="4" customWidth="1"/>
    <col min="6161" max="6161" width="24.5703125" style="4" customWidth="1"/>
    <col min="6162" max="6162" width="19.7109375" style="4" customWidth="1"/>
    <col min="6163" max="6163" width="29.140625" style="4" customWidth="1"/>
    <col min="6164" max="6164" width="25.140625" style="4" customWidth="1"/>
    <col min="6165" max="6166" width="29.42578125" style="4" customWidth="1"/>
    <col min="6167" max="6168" width="23.7109375" style="4" customWidth="1"/>
    <col min="6169" max="6169" width="26.7109375" style="4" customWidth="1"/>
    <col min="6170" max="6170" width="29.85546875" style="4" customWidth="1"/>
    <col min="6171" max="6173" width="23.28515625" style="4" customWidth="1"/>
    <col min="6174" max="6174" width="23.85546875" style="4" customWidth="1"/>
    <col min="6175" max="6175" width="26.7109375" style="4" customWidth="1"/>
    <col min="6176" max="6176" width="24.5703125" style="4" customWidth="1"/>
    <col min="6177" max="6177" width="26.85546875" style="4" customWidth="1"/>
    <col min="6178" max="6179" width="23.5703125" style="4" customWidth="1"/>
    <col min="6180" max="6180" width="28.7109375" style="4" customWidth="1"/>
    <col min="6181" max="6181" width="34.42578125" style="4" customWidth="1"/>
    <col min="6182" max="6182" width="29.7109375" style="4" customWidth="1"/>
    <col min="6183" max="6183" width="22" style="4" customWidth="1"/>
    <col min="6184" max="6184" width="23.7109375" style="4" customWidth="1"/>
    <col min="6185" max="6185" width="23.5703125" style="4" customWidth="1"/>
    <col min="6186" max="6189" width="22.140625" style="4" customWidth="1"/>
    <col min="6190" max="6190" width="25.28515625" style="4" customWidth="1"/>
    <col min="6191" max="6191" width="45.42578125" style="4" customWidth="1"/>
    <col min="6192" max="6192" width="24.7109375" style="4" customWidth="1"/>
    <col min="6193" max="6193" width="26.42578125" style="4" customWidth="1"/>
    <col min="6194" max="6194" width="29.28515625" style="4" customWidth="1"/>
    <col min="6195" max="6197" width="27.28515625" style="4" customWidth="1"/>
    <col min="6198" max="6198" width="31.7109375" style="4" customWidth="1"/>
    <col min="6199" max="6199" width="27.7109375" style="4" customWidth="1"/>
    <col min="6200" max="6202" width="28.28515625" style="4" customWidth="1"/>
    <col min="6203" max="6203" width="24.7109375" style="4" customWidth="1"/>
    <col min="6204" max="6204" width="24.140625" style="4" customWidth="1"/>
    <col min="6205" max="6207" width="22.28515625" style="4" customWidth="1"/>
    <col min="6208" max="6208" width="22.42578125" style="4" customWidth="1"/>
    <col min="6209" max="6209" width="23.7109375" style="4" customWidth="1"/>
    <col min="6210" max="6212" width="9.28515625" style="4" customWidth="1"/>
    <col min="6213" max="6366" width="9.28515625" style="4"/>
    <col min="6367" max="6367" width="26.28515625" style="4" customWidth="1"/>
    <col min="6368" max="6368" width="45.42578125" style="4" customWidth="1"/>
    <col min="6369" max="6369" width="14.85546875" style="4" customWidth="1"/>
    <col min="6370" max="6373" width="9.28515625" style="4" customWidth="1"/>
    <col min="6374" max="6374" width="0.140625" style="4" customWidth="1"/>
    <col min="6375" max="6375" width="29.42578125" style="4" customWidth="1"/>
    <col min="6376" max="6376" width="24.42578125" style="4" customWidth="1"/>
    <col min="6377" max="6377" width="26.7109375" style="4" customWidth="1"/>
    <col min="6378" max="6378" width="24.85546875" style="4" customWidth="1"/>
    <col min="6379" max="6379" width="21.28515625" style="4" customWidth="1"/>
    <col min="6380" max="6383" width="21.5703125" style="4" customWidth="1"/>
    <col min="6384" max="6384" width="28.28515625" style="4" customWidth="1"/>
    <col min="6385" max="6385" width="33" style="4" customWidth="1"/>
    <col min="6386" max="6386" width="22.85546875" style="4" customWidth="1"/>
    <col min="6387" max="6387" width="22" style="4" customWidth="1"/>
    <col min="6388" max="6388" width="24.7109375" style="4" customWidth="1"/>
    <col min="6389" max="6389" width="28.7109375" style="4" customWidth="1"/>
    <col min="6390" max="6390" width="23.5703125" style="4" customWidth="1"/>
    <col min="6391" max="6391" width="24.28515625" style="4" customWidth="1"/>
    <col min="6392" max="6392" width="23.5703125" style="4" customWidth="1"/>
    <col min="6393" max="6397" width="24.28515625" style="4" customWidth="1"/>
    <col min="6398" max="6398" width="22.7109375" style="4" customWidth="1"/>
    <col min="6399" max="6399" width="21.5703125" style="4" customWidth="1"/>
    <col min="6400" max="6400" width="21.42578125" style="4" customWidth="1"/>
    <col min="6401" max="6401" width="22.28515625" style="4" customWidth="1"/>
    <col min="6402" max="6402" width="22.5703125" style="4" customWidth="1"/>
    <col min="6403" max="6403" width="23.28515625" style="4" customWidth="1"/>
    <col min="6404" max="6405" width="20.5703125" style="4" customWidth="1"/>
    <col min="6406" max="6406" width="21.28515625" style="4" customWidth="1"/>
    <col min="6407" max="6407" width="21.42578125" style="4" customWidth="1"/>
    <col min="6408" max="6408" width="22" style="4" customWidth="1"/>
    <col min="6409" max="6410" width="21.5703125" style="4" customWidth="1"/>
    <col min="6411" max="6411" width="22.28515625" style="4" customWidth="1"/>
    <col min="6412" max="6412" width="25.42578125" style="4" customWidth="1"/>
    <col min="6413" max="6413" width="25.28515625" style="4" customWidth="1"/>
    <col min="6414" max="6414" width="28.7109375" style="4" customWidth="1"/>
    <col min="6415" max="6415" width="22.140625" style="4" customWidth="1"/>
    <col min="6416" max="6416" width="22" style="4" customWidth="1"/>
    <col min="6417" max="6417" width="24.5703125" style="4" customWidth="1"/>
    <col min="6418" max="6418" width="19.7109375" style="4" customWidth="1"/>
    <col min="6419" max="6419" width="29.140625" style="4" customWidth="1"/>
    <col min="6420" max="6420" width="25.140625" style="4" customWidth="1"/>
    <col min="6421" max="6422" width="29.42578125" style="4" customWidth="1"/>
    <col min="6423" max="6424" width="23.7109375" style="4" customWidth="1"/>
    <col min="6425" max="6425" width="26.7109375" style="4" customWidth="1"/>
    <col min="6426" max="6426" width="29.85546875" style="4" customWidth="1"/>
    <col min="6427" max="6429" width="23.28515625" style="4" customWidth="1"/>
    <col min="6430" max="6430" width="23.85546875" style="4" customWidth="1"/>
    <col min="6431" max="6431" width="26.7109375" style="4" customWidth="1"/>
    <col min="6432" max="6432" width="24.5703125" style="4" customWidth="1"/>
    <col min="6433" max="6433" width="26.85546875" style="4" customWidth="1"/>
    <col min="6434" max="6435" width="23.5703125" style="4" customWidth="1"/>
    <col min="6436" max="6436" width="28.7109375" style="4" customWidth="1"/>
    <col min="6437" max="6437" width="34.42578125" style="4" customWidth="1"/>
    <col min="6438" max="6438" width="29.7109375" style="4" customWidth="1"/>
    <col min="6439" max="6439" width="22" style="4" customWidth="1"/>
    <col min="6440" max="6440" width="23.7109375" style="4" customWidth="1"/>
    <col min="6441" max="6441" width="23.5703125" style="4" customWidth="1"/>
    <col min="6442" max="6445" width="22.140625" style="4" customWidth="1"/>
    <col min="6446" max="6446" width="25.28515625" style="4" customWidth="1"/>
    <col min="6447" max="6447" width="45.42578125" style="4" customWidth="1"/>
    <col min="6448" max="6448" width="24.7109375" style="4" customWidth="1"/>
    <col min="6449" max="6449" width="26.42578125" style="4" customWidth="1"/>
    <col min="6450" max="6450" width="29.28515625" style="4" customWidth="1"/>
    <col min="6451" max="6453" width="27.28515625" style="4" customWidth="1"/>
    <col min="6454" max="6454" width="31.7109375" style="4" customWidth="1"/>
    <col min="6455" max="6455" width="27.7109375" style="4" customWidth="1"/>
    <col min="6456" max="6458" width="28.28515625" style="4" customWidth="1"/>
    <col min="6459" max="6459" width="24.7109375" style="4" customWidth="1"/>
    <col min="6460" max="6460" width="24.140625" style="4" customWidth="1"/>
    <col min="6461" max="6463" width="22.28515625" style="4" customWidth="1"/>
    <col min="6464" max="6464" width="22.42578125" style="4" customWidth="1"/>
    <col min="6465" max="6465" width="23.7109375" style="4" customWidth="1"/>
    <col min="6466" max="6468" width="9.28515625" style="4" customWidth="1"/>
    <col min="6469" max="6622" width="9.28515625" style="4"/>
    <col min="6623" max="6623" width="26.28515625" style="4" customWidth="1"/>
    <col min="6624" max="6624" width="45.42578125" style="4" customWidth="1"/>
    <col min="6625" max="6625" width="14.85546875" style="4" customWidth="1"/>
    <col min="6626" max="6629" width="9.28515625" style="4" customWidth="1"/>
    <col min="6630" max="6630" width="0.140625" style="4" customWidth="1"/>
    <col min="6631" max="6631" width="29.42578125" style="4" customWidth="1"/>
    <col min="6632" max="6632" width="24.42578125" style="4" customWidth="1"/>
    <col min="6633" max="6633" width="26.7109375" style="4" customWidth="1"/>
    <col min="6634" max="6634" width="24.85546875" style="4" customWidth="1"/>
    <col min="6635" max="6635" width="21.28515625" style="4" customWidth="1"/>
    <col min="6636" max="6639" width="21.5703125" style="4" customWidth="1"/>
    <col min="6640" max="6640" width="28.28515625" style="4" customWidth="1"/>
    <col min="6641" max="6641" width="33" style="4" customWidth="1"/>
    <col min="6642" max="6642" width="22.85546875" style="4" customWidth="1"/>
    <col min="6643" max="6643" width="22" style="4" customWidth="1"/>
    <col min="6644" max="6644" width="24.7109375" style="4" customWidth="1"/>
    <col min="6645" max="6645" width="28.7109375" style="4" customWidth="1"/>
    <col min="6646" max="6646" width="23.5703125" style="4" customWidth="1"/>
    <col min="6647" max="6647" width="24.28515625" style="4" customWidth="1"/>
    <col min="6648" max="6648" width="23.5703125" style="4" customWidth="1"/>
    <col min="6649" max="6653" width="24.28515625" style="4" customWidth="1"/>
    <col min="6654" max="6654" width="22.7109375" style="4" customWidth="1"/>
    <col min="6655" max="6655" width="21.5703125" style="4" customWidth="1"/>
    <col min="6656" max="6656" width="21.42578125" style="4" customWidth="1"/>
    <col min="6657" max="6657" width="22.28515625" style="4" customWidth="1"/>
    <col min="6658" max="6658" width="22.5703125" style="4" customWidth="1"/>
    <col min="6659" max="6659" width="23.28515625" style="4" customWidth="1"/>
    <col min="6660" max="6661" width="20.5703125" style="4" customWidth="1"/>
    <col min="6662" max="6662" width="21.28515625" style="4" customWidth="1"/>
    <col min="6663" max="6663" width="21.42578125" style="4" customWidth="1"/>
    <col min="6664" max="6664" width="22" style="4" customWidth="1"/>
    <col min="6665" max="6666" width="21.5703125" style="4" customWidth="1"/>
    <col min="6667" max="6667" width="22.28515625" style="4" customWidth="1"/>
    <col min="6668" max="6668" width="25.42578125" style="4" customWidth="1"/>
    <col min="6669" max="6669" width="25.28515625" style="4" customWidth="1"/>
    <col min="6670" max="6670" width="28.7109375" style="4" customWidth="1"/>
    <col min="6671" max="6671" width="22.140625" style="4" customWidth="1"/>
    <col min="6672" max="6672" width="22" style="4" customWidth="1"/>
    <col min="6673" max="6673" width="24.5703125" style="4" customWidth="1"/>
    <col min="6674" max="6674" width="19.7109375" style="4" customWidth="1"/>
    <col min="6675" max="6675" width="29.140625" style="4" customWidth="1"/>
    <col min="6676" max="6676" width="25.140625" style="4" customWidth="1"/>
    <col min="6677" max="6678" width="29.42578125" style="4" customWidth="1"/>
    <col min="6679" max="6680" width="23.7109375" style="4" customWidth="1"/>
    <col min="6681" max="6681" width="26.7109375" style="4" customWidth="1"/>
    <col min="6682" max="6682" width="29.85546875" style="4" customWidth="1"/>
    <col min="6683" max="6685" width="23.28515625" style="4" customWidth="1"/>
    <col min="6686" max="6686" width="23.85546875" style="4" customWidth="1"/>
    <col min="6687" max="6687" width="26.7109375" style="4" customWidth="1"/>
    <col min="6688" max="6688" width="24.5703125" style="4" customWidth="1"/>
    <col min="6689" max="6689" width="26.85546875" style="4" customWidth="1"/>
    <col min="6690" max="6691" width="23.5703125" style="4" customWidth="1"/>
    <col min="6692" max="6692" width="28.7109375" style="4" customWidth="1"/>
    <col min="6693" max="6693" width="34.42578125" style="4" customWidth="1"/>
    <col min="6694" max="6694" width="29.7109375" style="4" customWidth="1"/>
    <col min="6695" max="6695" width="22" style="4" customWidth="1"/>
    <col min="6696" max="6696" width="23.7109375" style="4" customWidth="1"/>
    <col min="6697" max="6697" width="23.5703125" style="4" customWidth="1"/>
    <col min="6698" max="6701" width="22.140625" style="4" customWidth="1"/>
    <col min="6702" max="6702" width="25.28515625" style="4" customWidth="1"/>
    <col min="6703" max="6703" width="45.42578125" style="4" customWidth="1"/>
    <col min="6704" max="6704" width="24.7109375" style="4" customWidth="1"/>
    <col min="6705" max="6705" width="26.42578125" style="4" customWidth="1"/>
    <col min="6706" max="6706" width="29.28515625" style="4" customWidth="1"/>
    <col min="6707" max="6709" width="27.28515625" style="4" customWidth="1"/>
    <col min="6710" max="6710" width="31.7109375" style="4" customWidth="1"/>
    <col min="6711" max="6711" width="27.7109375" style="4" customWidth="1"/>
    <col min="6712" max="6714" width="28.28515625" style="4" customWidth="1"/>
    <col min="6715" max="6715" width="24.7109375" style="4" customWidth="1"/>
    <col min="6716" max="6716" width="24.140625" style="4" customWidth="1"/>
    <col min="6717" max="6719" width="22.28515625" style="4" customWidth="1"/>
    <col min="6720" max="6720" width="22.42578125" style="4" customWidth="1"/>
    <col min="6721" max="6721" width="23.7109375" style="4" customWidth="1"/>
    <col min="6722" max="6724" width="9.28515625" style="4" customWidth="1"/>
    <col min="6725" max="6878" width="9.28515625" style="4"/>
    <col min="6879" max="6879" width="26.28515625" style="4" customWidth="1"/>
    <col min="6880" max="6880" width="45.42578125" style="4" customWidth="1"/>
    <col min="6881" max="6881" width="14.85546875" style="4" customWidth="1"/>
    <col min="6882" max="6885" width="9.28515625" style="4" customWidth="1"/>
    <col min="6886" max="6886" width="0.140625" style="4" customWidth="1"/>
    <col min="6887" max="6887" width="29.42578125" style="4" customWidth="1"/>
    <col min="6888" max="6888" width="24.42578125" style="4" customWidth="1"/>
    <col min="6889" max="6889" width="26.7109375" style="4" customWidth="1"/>
    <col min="6890" max="6890" width="24.85546875" style="4" customWidth="1"/>
    <col min="6891" max="6891" width="21.28515625" style="4" customWidth="1"/>
    <col min="6892" max="6895" width="21.5703125" style="4" customWidth="1"/>
    <col min="6896" max="6896" width="28.28515625" style="4" customWidth="1"/>
    <col min="6897" max="6897" width="33" style="4" customWidth="1"/>
    <col min="6898" max="6898" width="22.85546875" style="4" customWidth="1"/>
    <col min="6899" max="6899" width="22" style="4" customWidth="1"/>
    <col min="6900" max="6900" width="24.7109375" style="4" customWidth="1"/>
    <col min="6901" max="6901" width="28.7109375" style="4" customWidth="1"/>
    <col min="6902" max="6902" width="23.5703125" style="4" customWidth="1"/>
    <col min="6903" max="6903" width="24.28515625" style="4" customWidth="1"/>
    <col min="6904" max="6904" width="23.5703125" style="4" customWidth="1"/>
    <col min="6905" max="6909" width="24.28515625" style="4" customWidth="1"/>
    <col min="6910" max="6910" width="22.7109375" style="4" customWidth="1"/>
    <col min="6911" max="6911" width="21.5703125" style="4" customWidth="1"/>
    <col min="6912" max="6912" width="21.42578125" style="4" customWidth="1"/>
    <col min="6913" max="6913" width="22.28515625" style="4" customWidth="1"/>
    <col min="6914" max="6914" width="22.5703125" style="4" customWidth="1"/>
    <col min="6915" max="6915" width="23.28515625" style="4" customWidth="1"/>
    <col min="6916" max="6917" width="20.5703125" style="4" customWidth="1"/>
    <col min="6918" max="6918" width="21.28515625" style="4" customWidth="1"/>
    <col min="6919" max="6919" width="21.42578125" style="4" customWidth="1"/>
    <col min="6920" max="6920" width="22" style="4" customWidth="1"/>
    <col min="6921" max="6922" width="21.5703125" style="4" customWidth="1"/>
    <col min="6923" max="6923" width="22.28515625" style="4" customWidth="1"/>
    <col min="6924" max="6924" width="25.42578125" style="4" customWidth="1"/>
    <col min="6925" max="6925" width="25.28515625" style="4" customWidth="1"/>
    <col min="6926" max="6926" width="28.7109375" style="4" customWidth="1"/>
    <col min="6927" max="6927" width="22.140625" style="4" customWidth="1"/>
    <col min="6928" max="6928" width="22" style="4" customWidth="1"/>
    <col min="6929" max="6929" width="24.5703125" style="4" customWidth="1"/>
    <col min="6930" max="6930" width="19.7109375" style="4" customWidth="1"/>
    <col min="6931" max="6931" width="29.140625" style="4" customWidth="1"/>
    <col min="6932" max="6932" width="25.140625" style="4" customWidth="1"/>
    <col min="6933" max="6934" width="29.42578125" style="4" customWidth="1"/>
    <col min="6935" max="6936" width="23.7109375" style="4" customWidth="1"/>
    <col min="6937" max="6937" width="26.7109375" style="4" customWidth="1"/>
    <col min="6938" max="6938" width="29.85546875" style="4" customWidth="1"/>
    <col min="6939" max="6941" width="23.28515625" style="4" customWidth="1"/>
    <col min="6942" max="6942" width="23.85546875" style="4" customWidth="1"/>
    <col min="6943" max="6943" width="26.7109375" style="4" customWidth="1"/>
    <col min="6944" max="6944" width="24.5703125" style="4" customWidth="1"/>
    <col min="6945" max="6945" width="26.85546875" style="4" customWidth="1"/>
    <col min="6946" max="6947" width="23.5703125" style="4" customWidth="1"/>
    <col min="6948" max="6948" width="28.7109375" style="4" customWidth="1"/>
    <col min="6949" max="6949" width="34.42578125" style="4" customWidth="1"/>
    <col min="6950" max="6950" width="29.7109375" style="4" customWidth="1"/>
    <col min="6951" max="6951" width="22" style="4" customWidth="1"/>
    <col min="6952" max="6952" width="23.7109375" style="4" customWidth="1"/>
    <col min="6953" max="6953" width="23.5703125" style="4" customWidth="1"/>
    <col min="6954" max="6957" width="22.140625" style="4" customWidth="1"/>
    <col min="6958" max="6958" width="25.28515625" style="4" customWidth="1"/>
    <col min="6959" max="6959" width="45.42578125" style="4" customWidth="1"/>
    <col min="6960" max="6960" width="24.7109375" style="4" customWidth="1"/>
    <col min="6961" max="6961" width="26.42578125" style="4" customWidth="1"/>
    <col min="6962" max="6962" width="29.28515625" style="4" customWidth="1"/>
    <col min="6963" max="6965" width="27.28515625" style="4" customWidth="1"/>
    <col min="6966" max="6966" width="31.7109375" style="4" customWidth="1"/>
    <col min="6967" max="6967" width="27.7109375" style="4" customWidth="1"/>
    <col min="6968" max="6970" width="28.28515625" style="4" customWidth="1"/>
    <col min="6971" max="6971" width="24.7109375" style="4" customWidth="1"/>
    <col min="6972" max="6972" width="24.140625" style="4" customWidth="1"/>
    <col min="6973" max="6975" width="22.28515625" style="4" customWidth="1"/>
    <col min="6976" max="6976" width="22.42578125" style="4" customWidth="1"/>
    <col min="6977" max="6977" width="23.7109375" style="4" customWidth="1"/>
    <col min="6978" max="6980" width="9.28515625" style="4" customWidth="1"/>
    <col min="6981" max="7134" width="9.28515625" style="4"/>
    <col min="7135" max="7135" width="26.28515625" style="4" customWidth="1"/>
    <col min="7136" max="7136" width="45.42578125" style="4" customWidth="1"/>
    <col min="7137" max="7137" width="14.85546875" style="4" customWidth="1"/>
    <col min="7138" max="7141" width="9.28515625" style="4" customWidth="1"/>
    <col min="7142" max="7142" width="0.140625" style="4" customWidth="1"/>
    <col min="7143" max="7143" width="29.42578125" style="4" customWidth="1"/>
    <col min="7144" max="7144" width="24.42578125" style="4" customWidth="1"/>
    <col min="7145" max="7145" width="26.7109375" style="4" customWidth="1"/>
    <col min="7146" max="7146" width="24.85546875" style="4" customWidth="1"/>
    <col min="7147" max="7147" width="21.28515625" style="4" customWidth="1"/>
    <col min="7148" max="7151" width="21.5703125" style="4" customWidth="1"/>
    <col min="7152" max="7152" width="28.28515625" style="4" customWidth="1"/>
    <col min="7153" max="7153" width="33" style="4" customWidth="1"/>
    <col min="7154" max="7154" width="22.85546875" style="4" customWidth="1"/>
    <col min="7155" max="7155" width="22" style="4" customWidth="1"/>
    <col min="7156" max="7156" width="24.7109375" style="4" customWidth="1"/>
    <col min="7157" max="7157" width="28.7109375" style="4" customWidth="1"/>
    <col min="7158" max="7158" width="23.5703125" style="4" customWidth="1"/>
    <col min="7159" max="7159" width="24.28515625" style="4" customWidth="1"/>
    <col min="7160" max="7160" width="23.5703125" style="4" customWidth="1"/>
    <col min="7161" max="7165" width="24.28515625" style="4" customWidth="1"/>
    <col min="7166" max="7166" width="22.7109375" style="4" customWidth="1"/>
    <col min="7167" max="7167" width="21.5703125" style="4" customWidth="1"/>
    <col min="7168" max="7168" width="21.42578125" style="4" customWidth="1"/>
    <col min="7169" max="7169" width="22.28515625" style="4" customWidth="1"/>
    <col min="7170" max="7170" width="22.5703125" style="4" customWidth="1"/>
    <col min="7171" max="7171" width="23.28515625" style="4" customWidth="1"/>
    <col min="7172" max="7173" width="20.5703125" style="4" customWidth="1"/>
    <col min="7174" max="7174" width="21.28515625" style="4" customWidth="1"/>
    <col min="7175" max="7175" width="21.42578125" style="4" customWidth="1"/>
    <col min="7176" max="7176" width="22" style="4" customWidth="1"/>
    <col min="7177" max="7178" width="21.5703125" style="4" customWidth="1"/>
    <col min="7179" max="7179" width="22.28515625" style="4" customWidth="1"/>
    <col min="7180" max="7180" width="25.42578125" style="4" customWidth="1"/>
    <col min="7181" max="7181" width="25.28515625" style="4" customWidth="1"/>
    <col min="7182" max="7182" width="28.7109375" style="4" customWidth="1"/>
    <col min="7183" max="7183" width="22.140625" style="4" customWidth="1"/>
    <col min="7184" max="7184" width="22" style="4" customWidth="1"/>
    <col min="7185" max="7185" width="24.5703125" style="4" customWidth="1"/>
    <col min="7186" max="7186" width="19.7109375" style="4" customWidth="1"/>
    <col min="7187" max="7187" width="29.140625" style="4" customWidth="1"/>
    <col min="7188" max="7188" width="25.140625" style="4" customWidth="1"/>
    <col min="7189" max="7190" width="29.42578125" style="4" customWidth="1"/>
    <col min="7191" max="7192" width="23.7109375" style="4" customWidth="1"/>
    <col min="7193" max="7193" width="26.7109375" style="4" customWidth="1"/>
    <col min="7194" max="7194" width="29.85546875" style="4" customWidth="1"/>
    <col min="7195" max="7197" width="23.28515625" style="4" customWidth="1"/>
    <col min="7198" max="7198" width="23.85546875" style="4" customWidth="1"/>
    <col min="7199" max="7199" width="26.7109375" style="4" customWidth="1"/>
    <col min="7200" max="7200" width="24.5703125" style="4" customWidth="1"/>
    <col min="7201" max="7201" width="26.85546875" style="4" customWidth="1"/>
    <col min="7202" max="7203" width="23.5703125" style="4" customWidth="1"/>
    <col min="7204" max="7204" width="28.7109375" style="4" customWidth="1"/>
    <col min="7205" max="7205" width="34.42578125" style="4" customWidth="1"/>
    <col min="7206" max="7206" width="29.7109375" style="4" customWidth="1"/>
    <col min="7207" max="7207" width="22" style="4" customWidth="1"/>
    <col min="7208" max="7208" width="23.7109375" style="4" customWidth="1"/>
    <col min="7209" max="7209" width="23.5703125" style="4" customWidth="1"/>
    <col min="7210" max="7213" width="22.140625" style="4" customWidth="1"/>
    <col min="7214" max="7214" width="25.28515625" style="4" customWidth="1"/>
    <col min="7215" max="7215" width="45.42578125" style="4" customWidth="1"/>
    <col min="7216" max="7216" width="24.7109375" style="4" customWidth="1"/>
    <col min="7217" max="7217" width="26.42578125" style="4" customWidth="1"/>
    <col min="7218" max="7218" width="29.28515625" style="4" customWidth="1"/>
    <col min="7219" max="7221" width="27.28515625" style="4" customWidth="1"/>
    <col min="7222" max="7222" width="31.7109375" style="4" customWidth="1"/>
    <col min="7223" max="7223" width="27.7109375" style="4" customWidth="1"/>
    <col min="7224" max="7226" width="28.28515625" style="4" customWidth="1"/>
    <col min="7227" max="7227" width="24.7109375" style="4" customWidth="1"/>
    <col min="7228" max="7228" width="24.140625" style="4" customWidth="1"/>
    <col min="7229" max="7231" width="22.28515625" style="4" customWidth="1"/>
    <col min="7232" max="7232" width="22.42578125" style="4" customWidth="1"/>
    <col min="7233" max="7233" width="23.7109375" style="4" customWidth="1"/>
    <col min="7234" max="7236" width="9.28515625" style="4" customWidth="1"/>
    <col min="7237" max="7390" width="9.28515625" style="4"/>
    <col min="7391" max="7391" width="26.28515625" style="4" customWidth="1"/>
    <col min="7392" max="7392" width="45.42578125" style="4" customWidth="1"/>
    <col min="7393" max="7393" width="14.85546875" style="4" customWidth="1"/>
    <col min="7394" max="7397" width="9.28515625" style="4" customWidth="1"/>
    <col min="7398" max="7398" width="0.140625" style="4" customWidth="1"/>
    <col min="7399" max="7399" width="29.42578125" style="4" customWidth="1"/>
    <col min="7400" max="7400" width="24.42578125" style="4" customWidth="1"/>
    <col min="7401" max="7401" width="26.7109375" style="4" customWidth="1"/>
    <col min="7402" max="7402" width="24.85546875" style="4" customWidth="1"/>
    <col min="7403" max="7403" width="21.28515625" style="4" customWidth="1"/>
    <col min="7404" max="7407" width="21.5703125" style="4" customWidth="1"/>
    <col min="7408" max="7408" width="28.28515625" style="4" customWidth="1"/>
    <col min="7409" max="7409" width="33" style="4" customWidth="1"/>
    <col min="7410" max="7410" width="22.85546875" style="4" customWidth="1"/>
    <col min="7411" max="7411" width="22" style="4" customWidth="1"/>
    <col min="7412" max="7412" width="24.7109375" style="4" customWidth="1"/>
    <col min="7413" max="7413" width="28.7109375" style="4" customWidth="1"/>
    <col min="7414" max="7414" width="23.5703125" style="4" customWidth="1"/>
    <col min="7415" max="7415" width="24.28515625" style="4" customWidth="1"/>
    <col min="7416" max="7416" width="23.5703125" style="4" customWidth="1"/>
    <col min="7417" max="7421" width="24.28515625" style="4" customWidth="1"/>
    <col min="7422" max="7422" width="22.7109375" style="4" customWidth="1"/>
    <col min="7423" max="7423" width="21.5703125" style="4" customWidth="1"/>
    <col min="7424" max="7424" width="21.42578125" style="4" customWidth="1"/>
    <col min="7425" max="7425" width="22.28515625" style="4" customWidth="1"/>
    <col min="7426" max="7426" width="22.5703125" style="4" customWidth="1"/>
    <col min="7427" max="7427" width="23.28515625" style="4" customWidth="1"/>
    <col min="7428" max="7429" width="20.5703125" style="4" customWidth="1"/>
    <col min="7430" max="7430" width="21.28515625" style="4" customWidth="1"/>
    <col min="7431" max="7431" width="21.42578125" style="4" customWidth="1"/>
    <col min="7432" max="7432" width="22" style="4" customWidth="1"/>
    <col min="7433" max="7434" width="21.5703125" style="4" customWidth="1"/>
    <col min="7435" max="7435" width="22.28515625" style="4" customWidth="1"/>
    <col min="7436" max="7436" width="25.42578125" style="4" customWidth="1"/>
    <col min="7437" max="7437" width="25.28515625" style="4" customWidth="1"/>
    <col min="7438" max="7438" width="28.7109375" style="4" customWidth="1"/>
    <col min="7439" max="7439" width="22.140625" style="4" customWidth="1"/>
    <col min="7440" max="7440" width="22" style="4" customWidth="1"/>
    <col min="7441" max="7441" width="24.5703125" style="4" customWidth="1"/>
    <col min="7442" max="7442" width="19.7109375" style="4" customWidth="1"/>
    <col min="7443" max="7443" width="29.140625" style="4" customWidth="1"/>
    <col min="7444" max="7444" width="25.140625" style="4" customWidth="1"/>
    <col min="7445" max="7446" width="29.42578125" style="4" customWidth="1"/>
    <col min="7447" max="7448" width="23.7109375" style="4" customWidth="1"/>
    <col min="7449" max="7449" width="26.7109375" style="4" customWidth="1"/>
    <col min="7450" max="7450" width="29.85546875" style="4" customWidth="1"/>
    <col min="7451" max="7453" width="23.28515625" style="4" customWidth="1"/>
    <col min="7454" max="7454" width="23.85546875" style="4" customWidth="1"/>
    <col min="7455" max="7455" width="26.7109375" style="4" customWidth="1"/>
    <col min="7456" max="7456" width="24.5703125" style="4" customWidth="1"/>
    <col min="7457" max="7457" width="26.85546875" style="4" customWidth="1"/>
    <col min="7458" max="7459" width="23.5703125" style="4" customWidth="1"/>
    <col min="7460" max="7460" width="28.7109375" style="4" customWidth="1"/>
    <col min="7461" max="7461" width="34.42578125" style="4" customWidth="1"/>
    <col min="7462" max="7462" width="29.7109375" style="4" customWidth="1"/>
    <col min="7463" max="7463" width="22" style="4" customWidth="1"/>
    <col min="7464" max="7464" width="23.7109375" style="4" customWidth="1"/>
    <col min="7465" max="7465" width="23.5703125" style="4" customWidth="1"/>
    <col min="7466" max="7469" width="22.140625" style="4" customWidth="1"/>
    <col min="7470" max="7470" width="25.28515625" style="4" customWidth="1"/>
    <col min="7471" max="7471" width="45.42578125" style="4" customWidth="1"/>
    <col min="7472" max="7472" width="24.7109375" style="4" customWidth="1"/>
    <col min="7473" max="7473" width="26.42578125" style="4" customWidth="1"/>
    <col min="7474" max="7474" width="29.28515625" style="4" customWidth="1"/>
    <col min="7475" max="7477" width="27.28515625" style="4" customWidth="1"/>
    <col min="7478" max="7478" width="31.7109375" style="4" customWidth="1"/>
    <col min="7479" max="7479" width="27.7109375" style="4" customWidth="1"/>
    <col min="7480" max="7482" width="28.28515625" style="4" customWidth="1"/>
    <col min="7483" max="7483" width="24.7109375" style="4" customWidth="1"/>
    <col min="7484" max="7484" width="24.140625" style="4" customWidth="1"/>
    <col min="7485" max="7487" width="22.28515625" style="4" customWidth="1"/>
    <col min="7488" max="7488" width="22.42578125" style="4" customWidth="1"/>
    <col min="7489" max="7489" width="23.7109375" style="4" customWidth="1"/>
    <col min="7490" max="7492" width="9.28515625" style="4" customWidth="1"/>
    <col min="7493" max="7646" width="9.28515625" style="4"/>
    <col min="7647" max="7647" width="26.28515625" style="4" customWidth="1"/>
    <col min="7648" max="7648" width="45.42578125" style="4" customWidth="1"/>
    <col min="7649" max="7649" width="14.85546875" style="4" customWidth="1"/>
    <col min="7650" max="7653" width="9.28515625" style="4" customWidth="1"/>
    <col min="7654" max="7654" width="0.140625" style="4" customWidth="1"/>
    <col min="7655" max="7655" width="29.42578125" style="4" customWidth="1"/>
    <col min="7656" max="7656" width="24.42578125" style="4" customWidth="1"/>
    <col min="7657" max="7657" width="26.7109375" style="4" customWidth="1"/>
    <col min="7658" max="7658" width="24.85546875" style="4" customWidth="1"/>
    <col min="7659" max="7659" width="21.28515625" style="4" customWidth="1"/>
    <col min="7660" max="7663" width="21.5703125" style="4" customWidth="1"/>
    <col min="7664" max="7664" width="28.28515625" style="4" customWidth="1"/>
    <col min="7665" max="7665" width="33" style="4" customWidth="1"/>
    <col min="7666" max="7666" width="22.85546875" style="4" customWidth="1"/>
    <col min="7667" max="7667" width="22" style="4" customWidth="1"/>
    <col min="7668" max="7668" width="24.7109375" style="4" customWidth="1"/>
    <col min="7669" max="7669" width="28.7109375" style="4" customWidth="1"/>
    <col min="7670" max="7670" width="23.5703125" style="4" customWidth="1"/>
    <col min="7671" max="7671" width="24.28515625" style="4" customWidth="1"/>
    <col min="7672" max="7672" width="23.5703125" style="4" customWidth="1"/>
    <col min="7673" max="7677" width="24.28515625" style="4" customWidth="1"/>
    <col min="7678" max="7678" width="22.7109375" style="4" customWidth="1"/>
    <col min="7679" max="7679" width="21.5703125" style="4" customWidth="1"/>
    <col min="7680" max="7680" width="21.42578125" style="4" customWidth="1"/>
    <col min="7681" max="7681" width="22.28515625" style="4" customWidth="1"/>
    <col min="7682" max="7682" width="22.5703125" style="4" customWidth="1"/>
    <col min="7683" max="7683" width="23.28515625" style="4" customWidth="1"/>
    <col min="7684" max="7685" width="20.5703125" style="4" customWidth="1"/>
    <col min="7686" max="7686" width="21.28515625" style="4" customWidth="1"/>
    <col min="7687" max="7687" width="21.42578125" style="4" customWidth="1"/>
    <col min="7688" max="7688" width="22" style="4" customWidth="1"/>
    <col min="7689" max="7690" width="21.5703125" style="4" customWidth="1"/>
    <col min="7691" max="7691" width="22.28515625" style="4" customWidth="1"/>
    <col min="7692" max="7692" width="25.42578125" style="4" customWidth="1"/>
    <col min="7693" max="7693" width="25.28515625" style="4" customWidth="1"/>
    <col min="7694" max="7694" width="28.7109375" style="4" customWidth="1"/>
    <col min="7695" max="7695" width="22.140625" style="4" customWidth="1"/>
    <col min="7696" max="7696" width="22" style="4" customWidth="1"/>
    <col min="7697" max="7697" width="24.5703125" style="4" customWidth="1"/>
    <col min="7698" max="7698" width="19.7109375" style="4" customWidth="1"/>
    <col min="7699" max="7699" width="29.140625" style="4" customWidth="1"/>
    <col min="7700" max="7700" width="25.140625" style="4" customWidth="1"/>
    <col min="7701" max="7702" width="29.42578125" style="4" customWidth="1"/>
    <col min="7703" max="7704" width="23.7109375" style="4" customWidth="1"/>
    <col min="7705" max="7705" width="26.7109375" style="4" customWidth="1"/>
    <col min="7706" max="7706" width="29.85546875" style="4" customWidth="1"/>
    <col min="7707" max="7709" width="23.28515625" style="4" customWidth="1"/>
    <col min="7710" max="7710" width="23.85546875" style="4" customWidth="1"/>
    <col min="7711" max="7711" width="26.7109375" style="4" customWidth="1"/>
    <col min="7712" max="7712" width="24.5703125" style="4" customWidth="1"/>
    <col min="7713" max="7713" width="26.85546875" style="4" customWidth="1"/>
    <col min="7714" max="7715" width="23.5703125" style="4" customWidth="1"/>
    <col min="7716" max="7716" width="28.7109375" style="4" customWidth="1"/>
    <col min="7717" max="7717" width="34.42578125" style="4" customWidth="1"/>
    <col min="7718" max="7718" width="29.7109375" style="4" customWidth="1"/>
    <col min="7719" max="7719" width="22" style="4" customWidth="1"/>
    <col min="7720" max="7720" width="23.7109375" style="4" customWidth="1"/>
    <col min="7721" max="7721" width="23.5703125" style="4" customWidth="1"/>
    <col min="7722" max="7725" width="22.140625" style="4" customWidth="1"/>
    <col min="7726" max="7726" width="25.28515625" style="4" customWidth="1"/>
    <col min="7727" max="7727" width="45.42578125" style="4" customWidth="1"/>
    <col min="7728" max="7728" width="24.7109375" style="4" customWidth="1"/>
    <col min="7729" max="7729" width="26.42578125" style="4" customWidth="1"/>
    <col min="7730" max="7730" width="29.28515625" style="4" customWidth="1"/>
    <col min="7731" max="7733" width="27.28515625" style="4" customWidth="1"/>
    <col min="7734" max="7734" width="31.7109375" style="4" customWidth="1"/>
    <col min="7735" max="7735" width="27.7109375" style="4" customWidth="1"/>
    <col min="7736" max="7738" width="28.28515625" style="4" customWidth="1"/>
    <col min="7739" max="7739" width="24.7109375" style="4" customWidth="1"/>
    <col min="7740" max="7740" width="24.140625" style="4" customWidth="1"/>
    <col min="7741" max="7743" width="22.28515625" style="4" customWidth="1"/>
    <col min="7744" max="7744" width="22.42578125" style="4" customWidth="1"/>
    <col min="7745" max="7745" width="23.7109375" style="4" customWidth="1"/>
    <col min="7746" max="7748" width="9.28515625" style="4" customWidth="1"/>
    <col min="7749" max="7902" width="9.28515625" style="4"/>
    <col min="7903" max="7903" width="26.28515625" style="4" customWidth="1"/>
    <col min="7904" max="7904" width="45.42578125" style="4" customWidth="1"/>
    <col min="7905" max="7905" width="14.85546875" style="4" customWidth="1"/>
    <col min="7906" max="7909" width="9.28515625" style="4" customWidth="1"/>
    <col min="7910" max="7910" width="0.140625" style="4" customWidth="1"/>
    <col min="7911" max="7911" width="29.42578125" style="4" customWidth="1"/>
    <col min="7912" max="7912" width="24.42578125" style="4" customWidth="1"/>
    <col min="7913" max="7913" width="26.7109375" style="4" customWidth="1"/>
    <col min="7914" max="7914" width="24.85546875" style="4" customWidth="1"/>
    <col min="7915" max="7915" width="21.28515625" style="4" customWidth="1"/>
    <col min="7916" max="7919" width="21.5703125" style="4" customWidth="1"/>
    <col min="7920" max="7920" width="28.28515625" style="4" customWidth="1"/>
    <col min="7921" max="7921" width="33" style="4" customWidth="1"/>
    <col min="7922" max="7922" width="22.85546875" style="4" customWidth="1"/>
    <col min="7923" max="7923" width="22" style="4" customWidth="1"/>
    <col min="7924" max="7924" width="24.7109375" style="4" customWidth="1"/>
    <col min="7925" max="7925" width="28.7109375" style="4" customWidth="1"/>
    <col min="7926" max="7926" width="23.5703125" style="4" customWidth="1"/>
    <col min="7927" max="7927" width="24.28515625" style="4" customWidth="1"/>
    <col min="7928" max="7928" width="23.5703125" style="4" customWidth="1"/>
    <col min="7929" max="7933" width="24.28515625" style="4" customWidth="1"/>
    <col min="7934" max="7934" width="22.7109375" style="4" customWidth="1"/>
    <col min="7935" max="7935" width="21.5703125" style="4" customWidth="1"/>
    <col min="7936" max="7936" width="21.42578125" style="4" customWidth="1"/>
    <col min="7937" max="7937" width="22.28515625" style="4" customWidth="1"/>
    <col min="7938" max="7938" width="22.5703125" style="4" customWidth="1"/>
    <col min="7939" max="7939" width="23.28515625" style="4" customWidth="1"/>
    <col min="7940" max="7941" width="20.5703125" style="4" customWidth="1"/>
    <col min="7942" max="7942" width="21.28515625" style="4" customWidth="1"/>
    <col min="7943" max="7943" width="21.42578125" style="4" customWidth="1"/>
    <col min="7944" max="7944" width="22" style="4" customWidth="1"/>
    <col min="7945" max="7946" width="21.5703125" style="4" customWidth="1"/>
    <col min="7947" max="7947" width="22.28515625" style="4" customWidth="1"/>
    <col min="7948" max="7948" width="25.42578125" style="4" customWidth="1"/>
    <col min="7949" max="7949" width="25.28515625" style="4" customWidth="1"/>
    <col min="7950" max="7950" width="28.7109375" style="4" customWidth="1"/>
    <col min="7951" max="7951" width="22.140625" style="4" customWidth="1"/>
    <col min="7952" max="7952" width="22" style="4" customWidth="1"/>
    <col min="7953" max="7953" width="24.5703125" style="4" customWidth="1"/>
    <col min="7954" max="7954" width="19.7109375" style="4" customWidth="1"/>
    <col min="7955" max="7955" width="29.140625" style="4" customWidth="1"/>
    <col min="7956" max="7956" width="25.140625" style="4" customWidth="1"/>
    <col min="7957" max="7958" width="29.42578125" style="4" customWidth="1"/>
    <col min="7959" max="7960" width="23.7109375" style="4" customWidth="1"/>
    <col min="7961" max="7961" width="26.7109375" style="4" customWidth="1"/>
    <col min="7962" max="7962" width="29.85546875" style="4" customWidth="1"/>
    <col min="7963" max="7965" width="23.28515625" style="4" customWidth="1"/>
    <col min="7966" max="7966" width="23.85546875" style="4" customWidth="1"/>
    <col min="7967" max="7967" width="26.7109375" style="4" customWidth="1"/>
    <col min="7968" max="7968" width="24.5703125" style="4" customWidth="1"/>
    <col min="7969" max="7969" width="26.85546875" style="4" customWidth="1"/>
    <col min="7970" max="7971" width="23.5703125" style="4" customWidth="1"/>
    <col min="7972" max="7972" width="28.7109375" style="4" customWidth="1"/>
    <col min="7973" max="7973" width="34.42578125" style="4" customWidth="1"/>
    <col min="7974" max="7974" width="29.7109375" style="4" customWidth="1"/>
    <col min="7975" max="7975" width="22" style="4" customWidth="1"/>
    <col min="7976" max="7976" width="23.7109375" style="4" customWidth="1"/>
    <col min="7977" max="7977" width="23.5703125" style="4" customWidth="1"/>
    <col min="7978" max="7981" width="22.140625" style="4" customWidth="1"/>
    <col min="7982" max="7982" width="25.28515625" style="4" customWidth="1"/>
    <col min="7983" max="7983" width="45.42578125" style="4" customWidth="1"/>
    <col min="7984" max="7984" width="24.7109375" style="4" customWidth="1"/>
    <col min="7985" max="7985" width="26.42578125" style="4" customWidth="1"/>
    <col min="7986" max="7986" width="29.28515625" style="4" customWidth="1"/>
    <col min="7987" max="7989" width="27.28515625" style="4" customWidth="1"/>
    <col min="7990" max="7990" width="31.7109375" style="4" customWidth="1"/>
    <col min="7991" max="7991" width="27.7109375" style="4" customWidth="1"/>
    <col min="7992" max="7994" width="28.28515625" style="4" customWidth="1"/>
    <col min="7995" max="7995" width="24.7109375" style="4" customWidth="1"/>
    <col min="7996" max="7996" width="24.140625" style="4" customWidth="1"/>
    <col min="7997" max="7999" width="22.28515625" style="4" customWidth="1"/>
    <col min="8000" max="8000" width="22.42578125" style="4" customWidth="1"/>
    <col min="8001" max="8001" width="23.7109375" style="4" customWidth="1"/>
    <col min="8002" max="8004" width="9.28515625" style="4" customWidth="1"/>
    <col min="8005" max="8158" width="9.28515625" style="4"/>
    <col min="8159" max="8159" width="26.28515625" style="4" customWidth="1"/>
    <col min="8160" max="8160" width="45.42578125" style="4" customWidth="1"/>
    <col min="8161" max="8161" width="14.85546875" style="4" customWidth="1"/>
    <col min="8162" max="8165" width="9.28515625" style="4" customWidth="1"/>
    <col min="8166" max="8166" width="0.140625" style="4" customWidth="1"/>
    <col min="8167" max="8167" width="29.42578125" style="4" customWidth="1"/>
    <col min="8168" max="8168" width="24.42578125" style="4" customWidth="1"/>
    <col min="8169" max="8169" width="26.7109375" style="4" customWidth="1"/>
    <col min="8170" max="8170" width="24.85546875" style="4" customWidth="1"/>
    <col min="8171" max="8171" width="21.28515625" style="4" customWidth="1"/>
    <col min="8172" max="8175" width="21.5703125" style="4" customWidth="1"/>
    <col min="8176" max="8176" width="28.28515625" style="4" customWidth="1"/>
    <col min="8177" max="8177" width="33" style="4" customWidth="1"/>
    <col min="8178" max="8178" width="22.85546875" style="4" customWidth="1"/>
    <col min="8179" max="8179" width="22" style="4" customWidth="1"/>
    <col min="8180" max="8180" width="24.7109375" style="4" customWidth="1"/>
    <col min="8181" max="8181" width="28.7109375" style="4" customWidth="1"/>
    <col min="8182" max="8182" width="23.5703125" style="4" customWidth="1"/>
    <col min="8183" max="8183" width="24.28515625" style="4" customWidth="1"/>
    <col min="8184" max="8184" width="23.5703125" style="4" customWidth="1"/>
    <col min="8185" max="8189" width="24.28515625" style="4" customWidth="1"/>
    <col min="8190" max="8190" width="22.7109375" style="4" customWidth="1"/>
    <col min="8191" max="8191" width="21.5703125" style="4" customWidth="1"/>
    <col min="8192" max="8192" width="21.42578125" style="4" customWidth="1"/>
    <col min="8193" max="8193" width="22.28515625" style="4" customWidth="1"/>
    <col min="8194" max="8194" width="22.5703125" style="4" customWidth="1"/>
    <col min="8195" max="8195" width="23.28515625" style="4" customWidth="1"/>
    <col min="8196" max="8197" width="20.5703125" style="4" customWidth="1"/>
    <col min="8198" max="8198" width="21.28515625" style="4" customWidth="1"/>
    <col min="8199" max="8199" width="21.42578125" style="4" customWidth="1"/>
    <col min="8200" max="8200" width="22" style="4" customWidth="1"/>
    <col min="8201" max="8202" width="21.5703125" style="4" customWidth="1"/>
    <col min="8203" max="8203" width="22.28515625" style="4" customWidth="1"/>
    <col min="8204" max="8204" width="25.42578125" style="4" customWidth="1"/>
    <col min="8205" max="8205" width="25.28515625" style="4" customWidth="1"/>
    <col min="8206" max="8206" width="28.7109375" style="4" customWidth="1"/>
    <col min="8207" max="8207" width="22.140625" style="4" customWidth="1"/>
    <col min="8208" max="8208" width="22" style="4" customWidth="1"/>
    <col min="8209" max="8209" width="24.5703125" style="4" customWidth="1"/>
    <col min="8210" max="8210" width="19.7109375" style="4" customWidth="1"/>
    <col min="8211" max="8211" width="29.140625" style="4" customWidth="1"/>
    <col min="8212" max="8212" width="25.140625" style="4" customWidth="1"/>
    <col min="8213" max="8214" width="29.42578125" style="4" customWidth="1"/>
    <col min="8215" max="8216" width="23.7109375" style="4" customWidth="1"/>
    <col min="8217" max="8217" width="26.7109375" style="4" customWidth="1"/>
    <col min="8218" max="8218" width="29.85546875" style="4" customWidth="1"/>
    <col min="8219" max="8221" width="23.28515625" style="4" customWidth="1"/>
    <col min="8222" max="8222" width="23.85546875" style="4" customWidth="1"/>
    <col min="8223" max="8223" width="26.7109375" style="4" customWidth="1"/>
    <col min="8224" max="8224" width="24.5703125" style="4" customWidth="1"/>
    <col min="8225" max="8225" width="26.85546875" style="4" customWidth="1"/>
    <col min="8226" max="8227" width="23.5703125" style="4" customWidth="1"/>
    <col min="8228" max="8228" width="28.7109375" style="4" customWidth="1"/>
    <col min="8229" max="8229" width="34.42578125" style="4" customWidth="1"/>
    <col min="8230" max="8230" width="29.7109375" style="4" customWidth="1"/>
    <col min="8231" max="8231" width="22" style="4" customWidth="1"/>
    <col min="8232" max="8232" width="23.7109375" style="4" customWidth="1"/>
    <col min="8233" max="8233" width="23.5703125" style="4" customWidth="1"/>
    <col min="8234" max="8237" width="22.140625" style="4" customWidth="1"/>
    <col min="8238" max="8238" width="25.28515625" style="4" customWidth="1"/>
    <col min="8239" max="8239" width="45.42578125" style="4" customWidth="1"/>
    <col min="8240" max="8240" width="24.7109375" style="4" customWidth="1"/>
    <col min="8241" max="8241" width="26.42578125" style="4" customWidth="1"/>
    <col min="8242" max="8242" width="29.28515625" style="4" customWidth="1"/>
    <col min="8243" max="8245" width="27.28515625" style="4" customWidth="1"/>
    <col min="8246" max="8246" width="31.7109375" style="4" customWidth="1"/>
    <col min="8247" max="8247" width="27.7109375" style="4" customWidth="1"/>
    <col min="8248" max="8250" width="28.28515625" style="4" customWidth="1"/>
    <col min="8251" max="8251" width="24.7109375" style="4" customWidth="1"/>
    <col min="8252" max="8252" width="24.140625" style="4" customWidth="1"/>
    <col min="8253" max="8255" width="22.28515625" style="4" customWidth="1"/>
    <col min="8256" max="8256" width="22.42578125" style="4" customWidth="1"/>
    <col min="8257" max="8257" width="23.7109375" style="4" customWidth="1"/>
    <col min="8258" max="8260" width="9.28515625" style="4" customWidth="1"/>
    <col min="8261" max="8414" width="9.28515625" style="4"/>
    <col min="8415" max="8415" width="26.28515625" style="4" customWidth="1"/>
    <col min="8416" max="8416" width="45.42578125" style="4" customWidth="1"/>
    <col min="8417" max="8417" width="14.85546875" style="4" customWidth="1"/>
    <col min="8418" max="8421" width="9.28515625" style="4" customWidth="1"/>
    <col min="8422" max="8422" width="0.140625" style="4" customWidth="1"/>
    <col min="8423" max="8423" width="29.42578125" style="4" customWidth="1"/>
    <col min="8424" max="8424" width="24.42578125" style="4" customWidth="1"/>
    <col min="8425" max="8425" width="26.7109375" style="4" customWidth="1"/>
    <col min="8426" max="8426" width="24.85546875" style="4" customWidth="1"/>
    <col min="8427" max="8427" width="21.28515625" style="4" customWidth="1"/>
    <col min="8428" max="8431" width="21.5703125" style="4" customWidth="1"/>
    <col min="8432" max="8432" width="28.28515625" style="4" customWidth="1"/>
    <col min="8433" max="8433" width="33" style="4" customWidth="1"/>
    <col min="8434" max="8434" width="22.85546875" style="4" customWidth="1"/>
    <col min="8435" max="8435" width="22" style="4" customWidth="1"/>
    <col min="8436" max="8436" width="24.7109375" style="4" customWidth="1"/>
    <col min="8437" max="8437" width="28.7109375" style="4" customWidth="1"/>
    <col min="8438" max="8438" width="23.5703125" style="4" customWidth="1"/>
    <col min="8439" max="8439" width="24.28515625" style="4" customWidth="1"/>
    <col min="8440" max="8440" width="23.5703125" style="4" customWidth="1"/>
    <col min="8441" max="8445" width="24.28515625" style="4" customWidth="1"/>
    <col min="8446" max="8446" width="22.7109375" style="4" customWidth="1"/>
    <col min="8447" max="8447" width="21.5703125" style="4" customWidth="1"/>
    <col min="8448" max="8448" width="21.42578125" style="4" customWidth="1"/>
    <col min="8449" max="8449" width="22.28515625" style="4" customWidth="1"/>
    <col min="8450" max="8450" width="22.5703125" style="4" customWidth="1"/>
    <col min="8451" max="8451" width="23.28515625" style="4" customWidth="1"/>
    <col min="8452" max="8453" width="20.5703125" style="4" customWidth="1"/>
    <col min="8454" max="8454" width="21.28515625" style="4" customWidth="1"/>
    <col min="8455" max="8455" width="21.42578125" style="4" customWidth="1"/>
    <col min="8456" max="8456" width="22" style="4" customWidth="1"/>
    <col min="8457" max="8458" width="21.5703125" style="4" customWidth="1"/>
    <col min="8459" max="8459" width="22.28515625" style="4" customWidth="1"/>
    <col min="8460" max="8460" width="25.42578125" style="4" customWidth="1"/>
    <col min="8461" max="8461" width="25.28515625" style="4" customWidth="1"/>
    <col min="8462" max="8462" width="28.7109375" style="4" customWidth="1"/>
    <col min="8463" max="8463" width="22.140625" style="4" customWidth="1"/>
    <col min="8464" max="8464" width="22" style="4" customWidth="1"/>
    <col min="8465" max="8465" width="24.5703125" style="4" customWidth="1"/>
    <col min="8466" max="8466" width="19.7109375" style="4" customWidth="1"/>
    <col min="8467" max="8467" width="29.140625" style="4" customWidth="1"/>
    <col min="8468" max="8468" width="25.140625" style="4" customWidth="1"/>
    <col min="8469" max="8470" width="29.42578125" style="4" customWidth="1"/>
    <col min="8471" max="8472" width="23.7109375" style="4" customWidth="1"/>
    <col min="8473" max="8473" width="26.7109375" style="4" customWidth="1"/>
    <col min="8474" max="8474" width="29.85546875" style="4" customWidth="1"/>
    <col min="8475" max="8477" width="23.28515625" style="4" customWidth="1"/>
    <col min="8478" max="8478" width="23.85546875" style="4" customWidth="1"/>
    <col min="8479" max="8479" width="26.7109375" style="4" customWidth="1"/>
    <col min="8480" max="8480" width="24.5703125" style="4" customWidth="1"/>
    <col min="8481" max="8481" width="26.85546875" style="4" customWidth="1"/>
    <col min="8482" max="8483" width="23.5703125" style="4" customWidth="1"/>
    <col min="8484" max="8484" width="28.7109375" style="4" customWidth="1"/>
    <col min="8485" max="8485" width="34.42578125" style="4" customWidth="1"/>
    <col min="8486" max="8486" width="29.7109375" style="4" customWidth="1"/>
    <col min="8487" max="8487" width="22" style="4" customWidth="1"/>
    <col min="8488" max="8488" width="23.7109375" style="4" customWidth="1"/>
    <col min="8489" max="8489" width="23.5703125" style="4" customWidth="1"/>
    <col min="8490" max="8493" width="22.140625" style="4" customWidth="1"/>
    <col min="8494" max="8494" width="25.28515625" style="4" customWidth="1"/>
    <col min="8495" max="8495" width="45.42578125" style="4" customWidth="1"/>
    <col min="8496" max="8496" width="24.7109375" style="4" customWidth="1"/>
    <col min="8497" max="8497" width="26.42578125" style="4" customWidth="1"/>
    <col min="8498" max="8498" width="29.28515625" style="4" customWidth="1"/>
    <col min="8499" max="8501" width="27.28515625" style="4" customWidth="1"/>
    <col min="8502" max="8502" width="31.7109375" style="4" customWidth="1"/>
    <col min="8503" max="8503" width="27.7109375" style="4" customWidth="1"/>
    <col min="8504" max="8506" width="28.28515625" style="4" customWidth="1"/>
    <col min="8507" max="8507" width="24.7109375" style="4" customWidth="1"/>
    <col min="8508" max="8508" width="24.140625" style="4" customWidth="1"/>
    <col min="8509" max="8511" width="22.28515625" style="4" customWidth="1"/>
    <col min="8512" max="8512" width="22.42578125" style="4" customWidth="1"/>
    <col min="8513" max="8513" width="23.7109375" style="4" customWidth="1"/>
    <col min="8514" max="8516" width="9.28515625" style="4" customWidth="1"/>
    <col min="8517" max="8670" width="9.28515625" style="4"/>
    <col min="8671" max="8671" width="26.28515625" style="4" customWidth="1"/>
    <col min="8672" max="8672" width="45.42578125" style="4" customWidth="1"/>
    <col min="8673" max="8673" width="14.85546875" style="4" customWidth="1"/>
    <col min="8674" max="8677" width="9.28515625" style="4" customWidth="1"/>
    <col min="8678" max="8678" width="0.140625" style="4" customWidth="1"/>
    <col min="8679" max="8679" width="29.42578125" style="4" customWidth="1"/>
    <col min="8680" max="8680" width="24.42578125" style="4" customWidth="1"/>
    <col min="8681" max="8681" width="26.7109375" style="4" customWidth="1"/>
    <col min="8682" max="8682" width="24.85546875" style="4" customWidth="1"/>
    <col min="8683" max="8683" width="21.28515625" style="4" customWidth="1"/>
    <col min="8684" max="8687" width="21.5703125" style="4" customWidth="1"/>
    <col min="8688" max="8688" width="28.28515625" style="4" customWidth="1"/>
    <col min="8689" max="8689" width="33" style="4" customWidth="1"/>
    <col min="8690" max="8690" width="22.85546875" style="4" customWidth="1"/>
    <col min="8691" max="8691" width="22" style="4" customWidth="1"/>
    <col min="8692" max="8692" width="24.7109375" style="4" customWidth="1"/>
    <col min="8693" max="8693" width="28.7109375" style="4" customWidth="1"/>
    <col min="8694" max="8694" width="23.5703125" style="4" customWidth="1"/>
    <col min="8695" max="8695" width="24.28515625" style="4" customWidth="1"/>
    <col min="8696" max="8696" width="23.5703125" style="4" customWidth="1"/>
    <col min="8697" max="8701" width="24.28515625" style="4" customWidth="1"/>
    <col min="8702" max="8702" width="22.7109375" style="4" customWidth="1"/>
    <col min="8703" max="8703" width="21.5703125" style="4" customWidth="1"/>
    <col min="8704" max="8704" width="21.42578125" style="4" customWidth="1"/>
    <col min="8705" max="8705" width="22.28515625" style="4" customWidth="1"/>
    <col min="8706" max="8706" width="22.5703125" style="4" customWidth="1"/>
    <col min="8707" max="8707" width="23.28515625" style="4" customWidth="1"/>
    <col min="8708" max="8709" width="20.5703125" style="4" customWidth="1"/>
    <col min="8710" max="8710" width="21.28515625" style="4" customWidth="1"/>
    <col min="8711" max="8711" width="21.42578125" style="4" customWidth="1"/>
    <col min="8712" max="8712" width="22" style="4" customWidth="1"/>
    <col min="8713" max="8714" width="21.5703125" style="4" customWidth="1"/>
    <col min="8715" max="8715" width="22.28515625" style="4" customWidth="1"/>
    <col min="8716" max="8716" width="25.42578125" style="4" customWidth="1"/>
    <col min="8717" max="8717" width="25.28515625" style="4" customWidth="1"/>
    <col min="8718" max="8718" width="28.7109375" style="4" customWidth="1"/>
    <col min="8719" max="8719" width="22.140625" style="4" customWidth="1"/>
    <col min="8720" max="8720" width="22" style="4" customWidth="1"/>
    <col min="8721" max="8721" width="24.5703125" style="4" customWidth="1"/>
    <col min="8722" max="8722" width="19.7109375" style="4" customWidth="1"/>
    <col min="8723" max="8723" width="29.140625" style="4" customWidth="1"/>
    <col min="8724" max="8724" width="25.140625" style="4" customWidth="1"/>
    <col min="8725" max="8726" width="29.42578125" style="4" customWidth="1"/>
    <col min="8727" max="8728" width="23.7109375" style="4" customWidth="1"/>
    <col min="8729" max="8729" width="26.7109375" style="4" customWidth="1"/>
    <col min="8730" max="8730" width="29.85546875" style="4" customWidth="1"/>
    <col min="8731" max="8733" width="23.28515625" style="4" customWidth="1"/>
    <col min="8734" max="8734" width="23.85546875" style="4" customWidth="1"/>
    <col min="8735" max="8735" width="26.7109375" style="4" customWidth="1"/>
    <col min="8736" max="8736" width="24.5703125" style="4" customWidth="1"/>
    <col min="8737" max="8737" width="26.85546875" style="4" customWidth="1"/>
    <col min="8738" max="8739" width="23.5703125" style="4" customWidth="1"/>
    <col min="8740" max="8740" width="28.7109375" style="4" customWidth="1"/>
    <col min="8741" max="8741" width="34.42578125" style="4" customWidth="1"/>
    <col min="8742" max="8742" width="29.7109375" style="4" customWidth="1"/>
    <col min="8743" max="8743" width="22" style="4" customWidth="1"/>
    <col min="8744" max="8744" width="23.7109375" style="4" customWidth="1"/>
    <col min="8745" max="8745" width="23.5703125" style="4" customWidth="1"/>
    <col min="8746" max="8749" width="22.140625" style="4" customWidth="1"/>
    <col min="8750" max="8750" width="25.28515625" style="4" customWidth="1"/>
    <col min="8751" max="8751" width="45.42578125" style="4" customWidth="1"/>
    <col min="8752" max="8752" width="24.7109375" style="4" customWidth="1"/>
    <col min="8753" max="8753" width="26.42578125" style="4" customWidth="1"/>
    <col min="8754" max="8754" width="29.28515625" style="4" customWidth="1"/>
    <col min="8755" max="8757" width="27.28515625" style="4" customWidth="1"/>
    <col min="8758" max="8758" width="31.7109375" style="4" customWidth="1"/>
    <col min="8759" max="8759" width="27.7109375" style="4" customWidth="1"/>
    <col min="8760" max="8762" width="28.28515625" style="4" customWidth="1"/>
    <col min="8763" max="8763" width="24.7109375" style="4" customWidth="1"/>
    <col min="8764" max="8764" width="24.140625" style="4" customWidth="1"/>
    <col min="8765" max="8767" width="22.28515625" style="4" customWidth="1"/>
    <col min="8768" max="8768" width="22.42578125" style="4" customWidth="1"/>
    <col min="8769" max="8769" width="23.7109375" style="4" customWidth="1"/>
    <col min="8770" max="8772" width="9.28515625" style="4" customWidth="1"/>
    <col min="8773" max="8926" width="9.28515625" style="4"/>
    <col min="8927" max="8927" width="26.28515625" style="4" customWidth="1"/>
    <col min="8928" max="8928" width="45.42578125" style="4" customWidth="1"/>
    <col min="8929" max="8929" width="14.85546875" style="4" customWidth="1"/>
    <col min="8930" max="8933" width="9.28515625" style="4" customWidth="1"/>
    <col min="8934" max="8934" width="0.140625" style="4" customWidth="1"/>
    <col min="8935" max="8935" width="29.42578125" style="4" customWidth="1"/>
    <col min="8936" max="8936" width="24.42578125" style="4" customWidth="1"/>
    <col min="8937" max="8937" width="26.7109375" style="4" customWidth="1"/>
    <col min="8938" max="8938" width="24.85546875" style="4" customWidth="1"/>
    <col min="8939" max="8939" width="21.28515625" style="4" customWidth="1"/>
    <col min="8940" max="8943" width="21.5703125" style="4" customWidth="1"/>
    <col min="8944" max="8944" width="28.28515625" style="4" customWidth="1"/>
    <col min="8945" max="8945" width="33" style="4" customWidth="1"/>
    <col min="8946" max="8946" width="22.85546875" style="4" customWidth="1"/>
    <col min="8947" max="8947" width="22" style="4" customWidth="1"/>
    <col min="8948" max="8948" width="24.7109375" style="4" customWidth="1"/>
    <col min="8949" max="8949" width="28.7109375" style="4" customWidth="1"/>
    <col min="8950" max="8950" width="23.5703125" style="4" customWidth="1"/>
    <col min="8951" max="8951" width="24.28515625" style="4" customWidth="1"/>
    <col min="8952" max="8952" width="23.5703125" style="4" customWidth="1"/>
    <col min="8953" max="8957" width="24.28515625" style="4" customWidth="1"/>
    <col min="8958" max="8958" width="22.7109375" style="4" customWidth="1"/>
    <col min="8959" max="8959" width="21.5703125" style="4" customWidth="1"/>
    <col min="8960" max="8960" width="21.42578125" style="4" customWidth="1"/>
    <col min="8961" max="8961" width="22.28515625" style="4" customWidth="1"/>
    <col min="8962" max="8962" width="22.5703125" style="4" customWidth="1"/>
    <col min="8963" max="8963" width="23.28515625" style="4" customWidth="1"/>
    <col min="8964" max="8965" width="20.5703125" style="4" customWidth="1"/>
    <col min="8966" max="8966" width="21.28515625" style="4" customWidth="1"/>
    <col min="8967" max="8967" width="21.42578125" style="4" customWidth="1"/>
    <col min="8968" max="8968" width="22" style="4" customWidth="1"/>
    <col min="8969" max="8970" width="21.5703125" style="4" customWidth="1"/>
    <col min="8971" max="8971" width="22.28515625" style="4" customWidth="1"/>
    <col min="8972" max="8972" width="25.42578125" style="4" customWidth="1"/>
    <col min="8973" max="8973" width="25.28515625" style="4" customWidth="1"/>
    <col min="8974" max="8974" width="28.7109375" style="4" customWidth="1"/>
    <col min="8975" max="8975" width="22.140625" style="4" customWidth="1"/>
    <col min="8976" max="8976" width="22" style="4" customWidth="1"/>
    <col min="8977" max="8977" width="24.5703125" style="4" customWidth="1"/>
    <col min="8978" max="8978" width="19.7109375" style="4" customWidth="1"/>
    <col min="8979" max="8979" width="29.140625" style="4" customWidth="1"/>
    <col min="8980" max="8980" width="25.140625" style="4" customWidth="1"/>
    <col min="8981" max="8982" width="29.42578125" style="4" customWidth="1"/>
    <col min="8983" max="8984" width="23.7109375" style="4" customWidth="1"/>
    <col min="8985" max="8985" width="26.7109375" style="4" customWidth="1"/>
    <col min="8986" max="8986" width="29.85546875" style="4" customWidth="1"/>
    <col min="8987" max="8989" width="23.28515625" style="4" customWidth="1"/>
    <col min="8990" max="8990" width="23.85546875" style="4" customWidth="1"/>
    <col min="8991" max="8991" width="26.7109375" style="4" customWidth="1"/>
    <col min="8992" max="8992" width="24.5703125" style="4" customWidth="1"/>
    <col min="8993" max="8993" width="26.85546875" style="4" customWidth="1"/>
    <col min="8994" max="8995" width="23.5703125" style="4" customWidth="1"/>
    <col min="8996" max="8996" width="28.7109375" style="4" customWidth="1"/>
    <col min="8997" max="8997" width="34.42578125" style="4" customWidth="1"/>
    <col min="8998" max="8998" width="29.7109375" style="4" customWidth="1"/>
    <col min="8999" max="8999" width="22" style="4" customWidth="1"/>
    <col min="9000" max="9000" width="23.7109375" style="4" customWidth="1"/>
    <col min="9001" max="9001" width="23.5703125" style="4" customWidth="1"/>
    <col min="9002" max="9005" width="22.140625" style="4" customWidth="1"/>
    <col min="9006" max="9006" width="25.28515625" style="4" customWidth="1"/>
    <col min="9007" max="9007" width="45.42578125" style="4" customWidth="1"/>
    <col min="9008" max="9008" width="24.7109375" style="4" customWidth="1"/>
    <col min="9009" max="9009" width="26.42578125" style="4" customWidth="1"/>
    <col min="9010" max="9010" width="29.28515625" style="4" customWidth="1"/>
    <col min="9011" max="9013" width="27.28515625" style="4" customWidth="1"/>
    <col min="9014" max="9014" width="31.7109375" style="4" customWidth="1"/>
    <col min="9015" max="9015" width="27.7109375" style="4" customWidth="1"/>
    <col min="9016" max="9018" width="28.28515625" style="4" customWidth="1"/>
    <col min="9019" max="9019" width="24.7109375" style="4" customWidth="1"/>
    <col min="9020" max="9020" width="24.140625" style="4" customWidth="1"/>
    <col min="9021" max="9023" width="22.28515625" style="4" customWidth="1"/>
    <col min="9024" max="9024" width="22.42578125" style="4" customWidth="1"/>
    <col min="9025" max="9025" width="23.7109375" style="4" customWidth="1"/>
    <col min="9026" max="9028" width="9.28515625" style="4" customWidth="1"/>
    <col min="9029" max="9182" width="9.28515625" style="4"/>
    <col min="9183" max="9183" width="26.28515625" style="4" customWidth="1"/>
    <col min="9184" max="9184" width="45.42578125" style="4" customWidth="1"/>
    <col min="9185" max="9185" width="14.85546875" style="4" customWidth="1"/>
    <col min="9186" max="9189" width="9.28515625" style="4" customWidth="1"/>
    <col min="9190" max="9190" width="0.140625" style="4" customWidth="1"/>
    <col min="9191" max="9191" width="29.42578125" style="4" customWidth="1"/>
    <col min="9192" max="9192" width="24.42578125" style="4" customWidth="1"/>
    <col min="9193" max="9193" width="26.7109375" style="4" customWidth="1"/>
    <col min="9194" max="9194" width="24.85546875" style="4" customWidth="1"/>
    <col min="9195" max="9195" width="21.28515625" style="4" customWidth="1"/>
    <col min="9196" max="9199" width="21.5703125" style="4" customWidth="1"/>
    <col min="9200" max="9200" width="28.28515625" style="4" customWidth="1"/>
    <col min="9201" max="9201" width="33" style="4" customWidth="1"/>
    <col min="9202" max="9202" width="22.85546875" style="4" customWidth="1"/>
    <col min="9203" max="9203" width="22" style="4" customWidth="1"/>
    <col min="9204" max="9204" width="24.7109375" style="4" customWidth="1"/>
    <col min="9205" max="9205" width="28.7109375" style="4" customWidth="1"/>
    <col min="9206" max="9206" width="23.5703125" style="4" customWidth="1"/>
    <col min="9207" max="9207" width="24.28515625" style="4" customWidth="1"/>
    <col min="9208" max="9208" width="23.5703125" style="4" customWidth="1"/>
    <col min="9209" max="9213" width="24.28515625" style="4" customWidth="1"/>
    <col min="9214" max="9214" width="22.7109375" style="4" customWidth="1"/>
    <col min="9215" max="9215" width="21.5703125" style="4" customWidth="1"/>
    <col min="9216" max="9216" width="21.42578125" style="4" customWidth="1"/>
    <col min="9217" max="9217" width="22.28515625" style="4" customWidth="1"/>
    <col min="9218" max="9218" width="22.5703125" style="4" customWidth="1"/>
    <col min="9219" max="9219" width="23.28515625" style="4" customWidth="1"/>
    <col min="9220" max="9221" width="20.5703125" style="4" customWidth="1"/>
    <col min="9222" max="9222" width="21.28515625" style="4" customWidth="1"/>
    <col min="9223" max="9223" width="21.42578125" style="4" customWidth="1"/>
    <col min="9224" max="9224" width="22" style="4" customWidth="1"/>
    <col min="9225" max="9226" width="21.5703125" style="4" customWidth="1"/>
    <col min="9227" max="9227" width="22.28515625" style="4" customWidth="1"/>
    <col min="9228" max="9228" width="25.42578125" style="4" customWidth="1"/>
    <col min="9229" max="9229" width="25.28515625" style="4" customWidth="1"/>
    <col min="9230" max="9230" width="28.7109375" style="4" customWidth="1"/>
    <col min="9231" max="9231" width="22.140625" style="4" customWidth="1"/>
    <col min="9232" max="9232" width="22" style="4" customWidth="1"/>
    <col min="9233" max="9233" width="24.5703125" style="4" customWidth="1"/>
    <col min="9234" max="9234" width="19.7109375" style="4" customWidth="1"/>
    <col min="9235" max="9235" width="29.140625" style="4" customWidth="1"/>
    <col min="9236" max="9236" width="25.140625" style="4" customWidth="1"/>
    <col min="9237" max="9238" width="29.42578125" style="4" customWidth="1"/>
    <col min="9239" max="9240" width="23.7109375" style="4" customWidth="1"/>
    <col min="9241" max="9241" width="26.7109375" style="4" customWidth="1"/>
    <col min="9242" max="9242" width="29.85546875" style="4" customWidth="1"/>
    <col min="9243" max="9245" width="23.28515625" style="4" customWidth="1"/>
    <col min="9246" max="9246" width="23.85546875" style="4" customWidth="1"/>
    <col min="9247" max="9247" width="26.7109375" style="4" customWidth="1"/>
    <col min="9248" max="9248" width="24.5703125" style="4" customWidth="1"/>
    <col min="9249" max="9249" width="26.85546875" style="4" customWidth="1"/>
    <col min="9250" max="9251" width="23.5703125" style="4" customWidth="1"/>
    <col min="9252" max="9252" width="28.7109375" style="4" customWidth="1"/>
    <col min="9253" max="9253" width="34.42578125" style="4" customWidth="1"/>
    <col min="9254" max="9254" width="29.7109375" style="4" customWidth="1"/>
    <col min="9255" max="9255" width="22" style="4" customWidth="1"/>
    <col min="9256" max="9256" width="23.7109375" style="4" customWidth="1"/>
    <col min="9257" max="9257" width="23.5703125" style="4" customWidth="1"/>
    <col min="9258" max="9261" width="22.140625" style="4" customWidth="1"/>
    <col min="9262" max="9262" width="25.28515625" style="4" customWidth="1"/>
    <col min="9263" max="9263" width="45.42578125" style="4" customWidth="1"/>
    <col min="9264" max="9264" width="24.7109375" style="4" customWidth="1"/>
    <col min="9265" max="9265" width="26.42578125" style="4" customWidth="1"/>
    <col min="9266" max="9266" width="29.28515625" style="4" customWidth="1"/>
    <col min="9267" max="9269" width="27.28515625" style="4" customWidth="1"/>
    <col min="9270" max="9270" width="31.7109375" style="4" customWidth="1"/>
    <col min="9271" max="9271" width="27.7109375" style="4" customWidth="1"/>
    <col min="9272" max="9274" width="28.28515625" style="4" customWidth="1"/>
    <col min="9275" max="9275" width="24.7109375" style="4" customWidth="1"/>
    <col min="9276" max="9276" width="24.140625" style="4" customWidth="1"/>
    <col min="9277" max="9279" width="22.28515625" style="4" customWidth="1"/>
    <col min="9280" max="9280" width="22.42578125" style="4" customWidth="1"/>
    <col min="9281" max="9281" width="23.7109375" style="4" customWidth="1"/>
    <col min="9282" max="9284" width="9.28515625" style="4" customWidth="1"/>
    <col min="9285" max="9438" width="9.28515625" style="4"/>
    <col min="9439" max="9439" width="26.28515625" style="4" customWidth="1"/>
    <col min="9440" max="9440" width="45.42578125" style="4" customWidth="1"/>
    <col min="9441" max="9441" width="14.85546875" style="4" customWidth="1"/>
    <col min="9442" max="9445" width="9.28515625" style="4" customWidth="1"/>
    <col min="9446" max="9446" width="0.140625" style="4" customWidth="1"/>
    <col min="9447" max="9447" width="29.42578125" style="4" customWidth="1"/>
    <col min="9448" max="9448" width="24.42578125" style="4" customWidth="1"/>
    <col min="9449" max="9449" width="26.7109375" style="4" customWidth="1"/>
    <col min="9450" max="9450" width="24.85546875" style="4" customWidth="1"/>
    <col min="9451" max="9451" width="21.28515625" style="4" customWidth="1"/>
    <col min="9452" max="9455" width="21.5703125" style="4" customWidth="1"/>
    <col min="9456" max="9456" width="28.28515625" style="4" customWidth="1"/>
    <col min="9457" max="9457" width="33" style="4" customWidth="1"/>
    <col min="9458" max="9458" width="22.85546875" style="4" customWidth="1"/>
    <col min="9459" max="9459" width="22" style="4" customWidth="1"/>
    <col min="9460" max="9460" width="24.7109375" style="4" customWidth="1"/>
    <col min="9461" max="9461" width="28.7109375" style="4" customWidth="1"/>
    <col min="9462" max="9462" width="23.5703125" style="4" customWidth="1"/>
    <col min="9463" max="9463" width="24.28515625" style="4" customWidth="1"/>
    <col min="9464" max="9464" width="23.5703125" style="4" customWidth="1"/>
    <col min="9465" max="9469" width="24.28515625" style="4" customWidth="1"/>
    <col min="9470" max="9470" width="22.7109375" style="4" customWidth="1"/>
    <col min="9471" max="9471" width="21.5703125" style="4" customWidth="1"/>
    <col min="9472" max="9472" width="21.42578125" style="4" customWidth="1"/>
    <col min="9473" max="9473" width="22.28515625" style="4" customWidth="1"/>
    <col min="9474" max="9474" width="22.5703125" style="4" customWidth="1"/>
    <col min="9475" max="9475" width="23.28515625" style="4" customWidth="1"/>
    <col min="9476" max="9477" width="20.5703125" style="4" customWidth="1"/>
    <col min="9478" max="9478" width="21.28515625" style="4" customWidth="1"/>
    <col min="9479" max="9479" width="21.42578125" style="4" customWidth="1"/>
    <col min="9480" max="9480" width="22" style="4" customWidth="1"/>
    <col min="9481" max="9482" width="21.5703125" style="4" customWidth="1"/>
    <col min="9483" max="9483" width="22.28515625" style="4" customWidth="1"/>
    <col min="9484" max="9484" width="25.42578125" style="4" customWidth="1"/>
    <col min="9485" max="9485" width="25.28515625" style="4" customWidth="1"/>
    <col min="9486" max="9486" width="28.7109375" style="4" customWidth="1"/>
    <col min="9487" max="9487" width="22.140625" style="4" customWidth="1"/>
    <col min="9488" max="9488" width="22" style="4" customWidth="1"/>
    <col min="9489" max="9489" width="24.5703125" style="4" customWidth="1"/>
    <col min="9490" max="9490" width="19.7109375" style="4" customWidth="1"/>
    <col min="9491" max="9491" width="29.140625" style="4" customWidth="1"/>
    <col min="9492" max="9492" width="25.140625" style="4" customWidth="1"/>
    <col min="9493" max="9494" width="29.42578125" style="4" customWidth="1"/>
    <col min="9495" max="9496" width="23.7109375" style="4" customWidth="1"/>
    <col min="9497" max="9497" width="26.7109375" style="4" customWidth="1"/>
    <col min="9498" max="9498" width="29.85546875" style="4" customWidth="1"/>
    <col min="9499" max="9501" width="23.28515625" style="4" customWidth="1"/>
    <col min="9502" max="9502" width="23.85546875" style="4" customWidth="1"/>
    <col min="9503" max="9503" width="26.7109375" style="4" customWidth="1"/>
    <col min="9504" max="9504" width="24.5703125" style="4" customWidth="1"/>
    <col min="9505" max="9505" width="26.85546875" style="4" customWidth="1"/>
    <col min="9506" max="9507" width="23.5703125" style="4" customWidth="1"/>
    <col min="9508" max="9508" width="28.7109375" style="4" customWidth="1"/>
    <col min="9509" max="9509" width="34.42578125" style="4" customWidth="1"/>
    <col min="9510" max="9510" width="29.7109375" style="4" customWidth="1"/>
    <col min="9511" max="9511" width="22" style="4" customWidth="1"/>
    <col min="9512" max="9512" width="23.7109375" style="4" customWidth="1"/>
    <col min="9513" max="9513" width="23.5703125" style="4" customWidth="1"/>
    <col min="9514" max="9517" width="22.140625" style="4" customWidth="1"/>
    <col min="9518" max="9518" width="25.28515625" style="4" customWidth="1"/>
    <col min="9519" max="9519" width="45.42578125" style="4" customWidth="1"/>
    <col min="9520" max="9520" width="24.7109375" style="4" customWidth="1"/>
    <col min="9521" max="9521" width="26.42578125" style="4" customWidth="1"/>
    <col min="9522" max="9522" width="29.28515625" style="4" customWidth="1"/>
    <col min="9523" max="9525" width="27.28515625" style="4" customWidth="1"/>
    <col min="9526" max="9526" width="31.7109375" style="4" customWidth="1"/>
    <col min="9527" max="9527" width="27.7109375" style="4" customWidth="1"/>
    <col min="9528" max="9530" width="28.28515625" style="4" customWidth="1"/>
    <col min="9531" max="9531" width="24.7109375" style="4" customWidth="1"/>
    <col min="9532" max="9532" width="24.140625" style="4" customWidth="1"/>
    <col min="9533" max="9535" width="22.28515625" style="4" customWidth="1"/>
    <col min="9536" max="9536" width="22.42578125" style="4" customWidth="1"/>
    <col min="9537" max="9537" width="23.7109375" style="4" customWidth="1"/>
    <col min="9538" max="9540" width="9.28515625" style="4" customWidth="1"/>
    <col min="9541" max="9694" width="9.28515625" style="4"/>
    <col min="9695" max="9695" width="26.28515625" style="4" customWidth="1"/>
    <col min="9696" max="9696" width="45.42578125" style="4" customWidth="1"/>
    <col min="9697" max="9697" width="14.85546875" style="4" customWidth="1"/>
    <col min="9698" max="9701" width="9.28515625" style="4" customWidth="1"/>
    <col min="9702" max="9702" width="0.140625" style="4" customWidth="1"/>
    <col min="9703" max="9703" width="29.42578125" style="4" customWidth="1"/>
    <col min="9704" max="9704" width="24.42578125" style="4" customWidth="1"/>
    <col min="9705" max="9705" width="26.7109375" style="4" customWidth="1"/>
    <col min="9706" max="9706" width="24.85546875" style="4" customWidth="1"/>
    <col min="9707" max="9707" width="21.28515625" style="4" customWidth="1"/>
    <col min="9708" max="9711" width="21.5703125" style="4" customWidth="1"/>
    <col min="9712" max="9712" width="28.28515625" style="4" customWidth="1"/>
    <col min="9713" max="9713" width="33" style="4" customWidth="1"/>
    <col min="9714" max="9714" width="22.85546875" style="4" customWidth="1"/>
    <col min="9715" max="9715" width="22" style="4" customWidth="1"/>
    <col min="9716" max="9716" width="24.7109375" style="4" customWidth="1"/>
    <col min="9717" max="9717" width="28.7109375" style="4" customWidth="1"/>
    <col min="9718" max="9718" width="23.5703125" style="4" customWidth="1"/>
    <col min="9719" max="9719" width="24.28515625" style="4" customWidth="1"/>
    <col min="9720" max="9720" width="23.5703125" style="4" customWidth="1"/>
    <col min="9721" max="9725" width="24.28515625" style="4" customWidth="1"/>
    <col min="9726" max="9726" width="22.7109375" style="4" customWidth="1"/>
    <col min="9727" max="9727" width="21.5703125" style="4" customWidth="1"/>
    <col min="9728" max="9728" width="21.42578125" style="4" customWidth="1"/>
    <col min="9729" max="9729" width="22.28515625" style="4" customWidth="1"/>
    <col min="9730" max="9730" width="22.5703125" style="4" customWidth="1"/>
    <col min="9731" max="9731" width="23.28515625" style="4" customWidth="1"/>
    <col min="9732" max="9733" width="20.5703125" style="4" customWidth="1"/>
    <col min="9734" max="9734" width="21.28515625" style="4" customWidth="1"/>
    <col min="9735" max="9735" width="21.42578125" style="4" customWidth="1"/>
    <col min="9736" max="9736" width="22" style="4" customWidth="1"/>
    <col min="9737" max="9738" width="21.5703125" style="4" customWidth="1"/>
    <col min="9739" max="9739" width="22.28515625" style="4" customWidth="1"/>
    <col min="9740" max="9740" width="25.42578125" style="4" customWidth="1"/>
    <col min="9741" max="9741" width="25.28515625" style="4" customWidth="1"/>
    <col min="9742" max="9742" width="28.7109375" style="4" customWidth="1"/>
    <col min="9743" max="9743" width="22.140625" style="4" customWidth="1"/>
    <col min="9744" max="9744" width="22" style="4" customWidth="1"/>
    <col min="9745" max="9745" width="24.5703125" style="4" customWidth="1"/>
    <col min="9746" max="9746" width="19.7109375" style="4" customWidth="1"/>
    <col min="9747" max="9747" width="29.140625" style="4" customWidth="1"/>
    <col min="9748" max="9748" width="25.140625" style="4" customWidth="1"/>
    <col min="9749" max="9750" width="29.42578125" style="4" customWidth="1"/>
    <col min="9751" max="9752" width="23.7109375" style="4" customWidth="1"/>
    <col min="9753" max="9753" width="26.7109375" style="4" customWidth="1"/>
    <col min="9754" max="9754" width="29.85546875" style="4" customWidth="1"/>
    <col min="9755" max="9757" width="23.28515625" style="4" customWidth="1"/>
    <col min="9758" max="9758" width="23.85546875" style="4" customWidth="1"/>
    <col min="9759" max="9759" width="26.7109375" style="4" customWidth="1"/>
    <col min="9760" max="9760" width="24.5703125" style="4" customWidth="1"/>
    <col min="9761" max="9761" width="26.85546875" style="4" customWidth="1"/>
    <col min="9762" max="9763" width="23.5703125" style="4" customWidth="1"/>
    <col min="9764" max="9764" width="28.7109375" style="4" customWidth="1"/>
    <col min="9765" max="9765" width="34.42578125" style="4" customWidth="1"/>
    <col min="9766" max="9766" width="29.7109375" style="4" customWidth="1"/>
    <col min="9767" max="9767" width="22" style="4" customWidth="1"/>
    <col min="9768" max="9768" width="23.7109375" style="4" customWidth="1"/>
    <col min="9769" max="9769" width="23.5703125" style="4" customWidth="1"/>
    <col min="9770" max="9773" width="22.140625" style="4" customWidth="1"/>
    <col min="9774" max="9774" width="25.28515625" style="4" customWidth="1"/>
    <col min="9775" max="9775" width="45.42578125" style="4" customWidth="1"/>
    <col min="9776" max="9776" width="24.7109375" style="4" customWidth="1"/>
    <col min="9777" max="9777" width="26.42578125" style="4" customWidth="1"/>
    <col min="9778" max="9778" width="29.28515625" style="4" customWidth="1"/>
    <col min="9779" max="9781" width="27.28515625" style="4" customWidth="1"/>
    <col min="9782" max="9782" width="31.7109375" style="4" customWidth="1"/>
    <col min="9783" max="9783" width="27.7109375" style="4" customWidth="1"/>
    <col min="9784" max="9786" width="28.28515625" style="4" customWidth="1"/>
    <col min="9787" max="9787" width="24.7109375" style="4" customWidth="1"/>
    <col min="9788" max="9788" width="24.140625" style="4" customWidth="1"/>
    <col min="9789" max="9791" width="22.28515625" style="4" customWidth="1"/>
    <col min="9792" max="9792" width="22.42578125" style="4" customWidth="1"/>
    <col min="9793" max="9793" width="23.7109375" style="4" customWidth="1"/>
    <col min="9794" max="9796" width="9.28515625" style="4" customWidth="1"/>
    <col min="9797" max="9950" width="9.28515625" style="4"/>
    <col min="9951" max="9951" width="26.28515625" style="4" customWidth="1"/>
    <col min="9952" max="9952" width="45.42578125" style="4" customWidth="1"/>
    <col min="9953" max="9953" width="14.85546875" style="4" customWidth="1"/>
    <col min="9954" max="9957" width="9.28515625" style="4" customWidth="1"/>
    <col min="9958" max="9958" width="0.140625" style="4" customWidth="1"/>
    <col min="9959" max="9959" width="29.42578125" style="4" customWidth="1"/>
    <col min="9960" max="9960" width="24.42578125" style="4" customWidth="1"/>
    <col min="9961" max="9961" width="26.7109375" style="4" customWidth="1"/>
    <col min="9962" max="9962" width="24.85546875" style="4" customWidth="1"/>
    <col min="9963" max="9963" width="21.28515625" style="4" customWidth="1"/>
    <col min="9964" max="9967" width="21.5703125" style="4" customWidth="1"/>
    <col min="9968" max="9968" width="28.28515625" style="4" customWidth="1"/>
    <col min="9969" max="9969" width="33" style="4" customWidth="1"/>
    <col min="9970" max="9970" width="22.85546875" style="4" customWidth="1"/>
    <col min="9971" max="9971" width="22" style="4" customWidth="1"/>
    <col min="9972" max="9972" width="24.7109375" style="4" customWidth="1"/>
    <col min="9973" max="9973" width="28.7109375" style="4" customWidth="1"/>
    <col min="9974" max="9974" width="23.5703125" style="4" customWidth="1"/>
    <col min="9975" max="9975" width="24.28515625" style="4" customWidth="1"/>
    <col min="9976" max="9976" width="23.5703125" style="4" customWidth="1"/>
    <col min="9977" max="9981" width="24.28515625" style="4" customWidth="1"/>
    <col min="9982" max="9982" width="22.7109375" style="4" customWidth="1"/>
    <col min="9983" max="9983" width="21.5703125" style="4" customWidth="1"/>
    <col min="9984" max="9984" width="21.42578125" style="4" customWidth="1"/>
    <col min="9985" max="9985" width="22.28515625" style="4" customWidth="1"/>
    <col min="9986" max="9986" width="22.5703125" style="4" customWidth="1"/>
    <col min="9987" max="9987" width="23.28515625" style="4" customWidth="1"/>
    <col min="9988" max="9989" width="20.5703125" style="4" customWidth="1"/>
    <col min="9990" max="9990" width="21.28515625" style="4" customWidth="1"/>
    <col min="9991" max="9991" width="21.42578125" style="4" customWidth="1"/>
    <col min="9992" max="9992" width="22" style="4" customWidth="1"/>
    <col min="9993" max="9994" width="21.5703125" style="4" customWidth="1"/>
    <col min="9995" max="9995" width="22.28515625" style="4" customWidth="1"/>
    <col min="9996" max="9996" width="25.42578125" style="4" customWidth="1"/>
    <col min="9997" max="9997" width="25.28515625" style="4" customWidth="1"/>
    <col min="9998" max="9998" width="28.7109375" style="4" customWidth="1"/>
    <col min="9999" max="9999" width="22.140625" style="4" customWidth="1"/>
    <col min="10000" max="10000" width="22" style="4" customWidth="1"/>
    <col min="10001" max="10001" width="24.5703125" style="4" customWidth="1"/>
    <col min="10002" max="10002" width="19.7109375" style="4" customWidth="1"/>
    <col min="10003" max="10003" width="29.140625" style="4" customWidth="1"/>
    <col min="10004" max="10004" width="25.140625" style="4" customWidth="1"/>
    <col min="10005" max="10006" width="29.42578125" style="4" customWidth="1"/>
    <col min="10007" max="10008" width="23.7109375" style="4" customWidth="1"/>
    <col min="10009" max="10009" width="26.7109375" style="4" customWidth="1"/>
    <col min="10010" max="10010" width="29.85546875" style="4" customWidth="1"/>
    <col min="10011" max="10013" width="23.28515625" style="4" customWidth="1"/>
    <col min="10014" max="10014" width="23.85546875" style="4" customWidth="1"/>
    <col min="10015" max="10015" width="26.7109375" style="4" customWidth="1"/>
    <col min="10016" max="10016" width="24.5703125" style="4" customWidth="1"/>
    <col min="10017" max="10017" width="26.85546875" style="4" customWidth="1"/>
    <col min="10018" max="10019" width="23.5703125" style="4" customWidth="1"/>
    <col min="10020" max="10020" width="28.7109375" style="4" customWidth="1"/>
    <col min="10021" max="10021" width="34.42578125" style="4" customWidth="1"/>
    <col min="10022" max="10022" width="29.7109375" style="4" customWidth="1"/>
    <col min="10023" max="10023" width="22" style="4" customWidth="1"/>
    <col min="10024" max="10024" width="23.7109375" style="4" customWidth="1"/>
    <col min="10025" max="10025" width="23.5703125" style="4" customWidth="1"/>
    <col min="10026" max="10029" width="22.140625" style="4" customWidth="1"/>
    <col min="10030" max="10030" width="25.28515625" style="4" customWidth="1"/>
    <col min="10031" max="10031" width="45.42578125" style="4" customWidth="1"/>
    <col min="10032" max="10032" width="24.7109375" style="4" customWidth="1"/>
    <col min="10033" max="10033" width="26.42578125" style="4" customWidth="1"/>
    <col min="10034" max="10034" width="29.28515625" style="4" customWidth="1"/>
    <col min="10035" max="10037" width="27.28515625" style="4" customWidth="1"/>
    <col min="10038" max="10038" width="31.7109375" style="4" customWidth="1"/>
    <col min="10039" max="10039" width="27.7109375" style="4" customWidth="1"/>
    <col min="10040" max="10042" width="28.28515625" style="4" customWidth="1"/>
    <col min="10043" max="10043" width="24.7109375" style="4" customWidth="1"/>
    <col min="10044" max="10044" width="24.140625" style="4" customWidth="1"/>
    <col min="10045" max="10047" width="22.28515625" style="4" customWidth="1"/>
    <col min="10048" max="10048" width="22.42578125" style="4" customWidth="1"/>
    <col min="10049" max="10049" width="23.7109375" style="4" customWidth="1"/>
    <col min="10050" max="10052" width="9.28515625" style="4" customWidth="1"/>
    <col min="10053" max="10206" width="9.28515625" style="4"/>
    <col min="10207" max="10207" width="26.28515625" style="4" customWidth="1"/>
    <col min="10208" max="10208" width="45.42578125" style="4" customWidth="1"/>
    <col min="10209" max="10209" width="14.85546875" style="4" customWidth="1"/>
    <col min="10210" max="10213" width="9.28515625" style="4" customWidth="1"/>
    <col min="10214" max="10214" width="0.140625" style="4" customWidth="1"/>
    <col min="10215" max="10215" width="29.42578125" style="4" customWidth="1"/>
    <col min="10216" max="10216" width="24.42578125" style="4" customWidth="1"/>
    <col min="10217" max="10217" width="26.7109375" style="4" customWidth="1"/>
    <col min="10218" max="10218" width="24.85546875" style="4" customWidth="1"/>
    <col min="10219" max="10219" width="21.28515625" style="4" customWidth="1"/>
    <col min="10220" max="10223" width="21.5703125" style="4" customWidth="1"/>
    <col min="10224" max="10224" width="28.28515625" style="4" customWidth="1"/>
    <col min="10225" max="10225" width="33" style="4" customWidth="1"/>
    <col min="10226" max="10226" width="22.85546875" style="4" customWidth="1"/>
    <col min="10227" max="10227" width="22" style="4" customWidth="1"/>
    <col min="10228" max="10228" width="24.7109375" style="4" customWidth="1"/>
    <col min="10229" max="10229" width="28.7109375" style="4" customWidth="1"/>
    <col min="10230" max="10230" width="23.5703125" style="4" customWidth="1"/>
    <col min="10231" max="10231" width="24.28515625" style="4" customWidth="1"/>
    <col min="10232" max="10232" width="23.5703125" style="4" customWidth="1"/>
    <col min="10233" max="10237" width="24.28515625" style="4" customWidth="1"/>
    <col min="10238" max="10238" width="22.7109375" style="4" customWidth="1"/>
    <col min="10239" max="10239" width="21.5703125" style="4" customWidth="1"/>
    <col min="10240" max="10240" width="21.42578125" style="4" customWidth="1"/>
    <col min="10241" max="10241" width="22.28515625" style="4" customWidth="1"/>
    <col min="10242" max="10242" width="22.5703125" style="4" customWidth="1"/>
    <col min="10243" max="10243" width="23.28515625" style="4" customWidth="1"/>
    <col min="10244" max="10245" width="20.5703125" style="4" customWidth="1"/>
    <col min="10246" max="10246" width="21.28515625" style="4" customWidth="1"/>
    <col min="10247" max="10247" width="21.42578125" style="4" customWidth="1"/>
    <col min="10248" max="10248" width="22" style="4" customWidth="1"/>
    <col min="10249" max="10250" width="21.5703125" style="4" customWidth="1"/>
    <col min="10251" max="10251" width="22.28515625" style="4" customWidth="1"/>
    <col min="10252" max="10252" width="25.42578125" style="4" customWidth="1"/>
    <col min="10253" max="10253" width="25.28515625" style="4" customWidth="1"/>
    <col min="10254" max="10254" width="28.7109375" style="4" customWidth="1"/>
    <col min="10255" max="10255" width="22.140625" style="4" customWidth="1"/>
    <col min="10256" max="10256" width="22" style="4" customWidth="1"/>
    <col min="10257" max="10257" width="24.5703125" style="4" customWidth="1"/>
    <col min="10258" max="10258" width="19.7109375" style="4" customWidth="1"/>
    <col min="10259" max="10259" width="29.140625" style="4" customWidth="1"/>
    <col min="10260" max="10260" width="25.140625" style="4" customWidth="1"/>
    <col min="10261" max="10262" width="29.42578125" style="4" customWidth="1"/>
    <col min="10263" max="10264" width="23.7109375" style="4" customWidth="1"/>
    <col min="10265" max="10265" width="26.7109375" style="4" customWidth="1"/>
    <col min="10266" max="10266" width="29.85546875" style="4" customWidth="1"/>
    <col min="10267" max="10269" width="23.28515625" style="4" customWidth="1"/>
    <col min="10270" max="10270" width="23.85546875" style="4" customWidth="1"/>
    <col min="10271" max="10271" width="26.7109375" style="4" customWidth="1"/>
    <col min="10272" max="10272" width="24.5703125" style="4" customWidth="1"/>
    <col min="10273" max="10273" width="26.85546875" style="4" customWidth="1"/>
    <col min="10274" max="10275" width="23.5703125" style="4" customWidth="1"/>
    <col min="10276" max="10276" width="28.7109375" style="4" customWidth="1"/>
    <col min="10277" max="10277" width="34.42578125" style="4" customWidth="1"/>
    <col min="10278" max="10278" width="29.7109375" style="4" customWidth="1"/>
    <col min="10279" max="10279" width="22" style="4" customWidth="1"/>
    <col min="10280" max="10280" width="23.7109375" style="4" customWidth="1"/>
    <col min="10281" max="10281" width="23.5703125" style="4" customWidth="1"/>
    <col min="10282" max="10285" width="22.140625" style="4" customWidth="1"/>
    <col min="10286" max="10286" width="25.28515625" style="4" customWidth="1"/>
    <col min="10287" max="10287" width="45.42578125" style="4" customWidth="1"/>
    <col min="10288" max="10288" width="24.7109375" style="4" customWidth="1"/>
    <col min="10289" max="10289" width="26.42578125" style="4" customWidth="1"/>
    <col min="10290" max="10290" width="29.28515625" style="4" customWidth="1"/>
    <col min="10291" max="10293" width="27.28515625" style="4" customWidth="1"/>
    <col min="10294" max="10294" width="31.7109375" style="4" customWidth="1"/>
    <col min="10295" max="10295" width="27.7109375" style="4" customWidth="1"/>
    <col min="10296" max="10298" width="28.28515625" style="4" customWidth="1"/>
    <col min="10299" max="10299" width="24.7109375" style="4" customWidth="1"/>
    <col min="10300" max="10300" width="24.140625" style="4" customWidth="1"/>
    <col min="10301" max="10303" width="22.28515625" style="4" customWidth="1"/>
    <col min="10304" max="10304" width="22.42578125" style="4" customWidth="1"/>
    <col min="10305" max="10305" width="23.7109375" style="4" customWidth="1"/>
    <col min="10306" max="10308" width="9.28515625" style="4" customWidth="1"/>
    <col min="10309" max="10462" width="9.28515625" style="4"/>
    <col min="10463" max="10463" width="26.28515625" style="4" customWidth="1"/>
    <col min="10464" max="10464" width="45.42578125" style="4" customWidth="1"/>
    <col min="10465" max="10465" width="14.85546875" style="4" customWidth="1"/>
    <col min="10466" max="10469" width="9.28515625" style="4" customWidth="1"/>
    <col min="10470" max="10470" width="0.140625" style="4" customWidth="1"/>
    <col min="10471" max="10471" width="29.42578125" style="4" customWidth="1"/>
    <col min="10472" max="10472" width="24.42578125" style="4" customWidth="1"/>
    <col min="10473" max="10473" width="26.7109375" style="4" customWidth="1"/>
    <col min="10474" max="10474" width="24.85546875" style="4" customWidth="1"/>
    <col min="10475" max="10475" width="21.28515625" style="4" customWidth="1"/>
    <col min="10476" max="10479" width="21.5703125" style="4" customWidth="1"/>
    <col min="10480" max="10480" width="28.28515625" style="4" customWidth="1"/>
    <col min="10481" max="10481" width="33" style="4" customWidth="1"/>
    <col min="10482" max="10482" width="22.85546875" style="4" customWidth="1"/>
    <col min="10483" max="10483" width="22" style="4" customWidth="1"/>
    <col min="10484" max="10484" width="24.7109375" style="4" customWidth="1"/>
    <col min="10485" max="10485" width="28.7109375" style="4" customWidth="1"/>
    <col min="10486" max="10486" width="23.5703125" style="4" customWidth="1"/>
    <col min="10487" max="10487" width="24.28515625" style="4" customWidth="1"/>
    <col min="10488" max="10488" width="23.5703125" style="4" customWidth="1"/>
    <col min="10489" max="10493" width="24.28515625" style="4" customWidth="1"/>
    <col min="10494" max="10494" width="22.7109375" style="4" customWidth="1"/>
    <col min="10495" max="10495" width="21.5703125" style="4" customWidth="1"/>
    <col min="10496" max="10496" width="21.42578125" style="4" customWidth="1"/>
    <col min="10497" max="10497" width="22.28515625" style="4" customWidth="1"/>
    <col min="10498" max="10498" width="22.5703125" style="4" customWidth="1"/>
    <col min="10499" max="10499" width="23.28515625" style="4" customWidth="1"/>
    <col min="10500" max="10501" width="20.5703125" style="4" customWidth="1"/>
    <col min="10502" max="10502" width="21.28515625" style="4" customWidth="1"/>
    <col min="10503" max="10503" width="21.42578125" style="4" customWidth="1"/>
    <col min="10504" max="10504" width="22" style="4" customWidth="1"/>
    <col min="10505" max="10506" width="21.5703125" style="4" customWidth="1"/>
    <col min="10507" max="10507" width="22.28515625" style="4" customWidth="1"/>
    <col min="10508" max="10508" width="25.42578125" style="4" customWidth="1"/>
    <col min="10509" max="10509" width="25.28515625" style="4" customWidth="1"/>
    <col min="10510" max="10510" width="28.7109375" style="4" customWidth="1"/>
    <col min="10511" max="10511" width="22.140625" style="4" customWidth="1"/>
    <col min="10512" max="10512" width="22" style="4" customWidth="1"/>
    <col min="10513" max="10513" width="24.5703125" style="4" customWidth="1"/>
    <col min="10514" max="10514" width="19.7109375" style="4" customWidth="1"/>
    <col min="10515" max="10515" width="29.140625" style="4" customWidth="1"/>
    <col min="10516" max="10516" width="25.140625" style="4" customWidth="1"/>
    <col min="10517" max="10518" width="29.42578125" style="4" customWidth="1"/>
    <col min="10519" max="10520" width="23.7109375" style="4" customWidth="1"/>
    <col min="10521" max="10521" width="26.7109375" style="4" customWidth="1"/>
    <col min="10522" max="10522" width="29.85546875" style="4" customWidth="1"/>
    <col min="10523" max="10525" width="23.28515625" style="4" customWidth="1"/>
    <col min="10526" max="10526" width="23.85546875" style="4" customWidth="1"/>
    <col min="10527" max="10527" width="26.7109375" style="4" customWidth="1"/>
    <col min="10528" max="10528" width="24.5703125" style="4" customWidth="1"/>
    <col min="10529" max="10529" width="26.85546875" style="4" customWidth="1"/>
    <col min="10530" max="10531" width="23.5703125" style="4" customWidth="1"/>
    <col min="10532" max="10532" width="28.7109375" style="4" customWidth="1"/>
    <col min="10533" max="10533" width="34.42578125" style="4" customWidth="1"/>
    <col min="10534" max="10534" width="29.7109375" style="4" customWidth="1"/>
    <col min="10535" max="10535" width="22" style="4" customWidth="1"/>
    <col min="10536" max="10536" width="23.7109375" style="4" customWidth="1"/>
    <col min="10537" max="10537" width="23.5703125" style="4" customWidth="1"/>
    <col min="10538" max="10541" width="22.140625" style="4" customWidth="1"/>
    <col min="10542" max="10542" width="25.28515625" style="4" customWidth="1"/>
    <col min="10543" max="10543" width="45.42578125" style="4" customWidth="1"/>
    <col min="10544" max="10544" width="24.7109375" style="4" customWidth="1"/>
    <col min="10545" max="10545" width="26.42578125" style="4" customWidth="1"/>
    <col min="10546" max="10546" width="29.28515625" style="4" customWidth="1"/>
    <col min="10547" max="10549" width="27.28515625" style="4" customWidth="1"/>
    <col min="10550" max="10550" width="31.7109375" style="4" customWidth="1"/>
    <col min="10551" max="10551" width="27.7109375" style="4" customWidth="1"/>
    <col min="10552" max="10554" width="28.28515625" style="4" customWidth="1"/>
    <col min="10555" max="10555" width="24.7109375" style="4" customWidth="1"/>
    <col min="10556" max="10556" width="24.140625" style="4" customWidth="1"/>
    <col min="10557" max="10559" width="22.28515625" style="4" customWidth="1"/>
    <col min="10560" max="10560" width="22.42578125" style="4" customWidth="1"/>
    <col min="10561" max="10561" width="23.7109375" style="4" customWidth="1"/>
    <col min="10562" max="10564" width="9.28515625" style="4" customWidth="1"/>
    <col min="10565" max="10718" width="9.28515625" style="4"/>
    <col min="10719" max="10719" width="26.28515625" style="4" customWidth="1"/>
    <col min="10720" max="10720" width="45.42578125" style="4" customWidth="1"/>
    <col min="10721" max="10721" width="14.85546875" style="4" customWidth="1"/>
    <col min="10722" max="10725" width="9.28515625" style="4" customWidth="1"/>
    <col min="10726" max="10726" width="0.140625" style="4" customWidth="1"/>
    <col min="10727" max="10727" width="29.42578125" style="4" customWidth="1"/>
    <col min="10728" max="10728" width="24.42578125" style="4" customWidth="1"/>
    <col min="10729" max="10729" width="26.7109375" style="4" customWidth="1"/>
    <col min="10730" max="10730" width="24.85546875" style="4" customWidth="1"/>
    <col min="10731" max="10731" width="21.28515625" style="4" customWidth="1"/>
    <col min="10732" max="10735" width="21.5703125" style="4" customWidth="1"/>
    <col min="10736" max="10736" width="28.28515625" style="4" customWidth="1"/>
    <col min="10737" max="10737" width="33" style="4" customWidth="1"/>
    <col min="10738" max="10738" width="22.85546875" style="4" customWidth="1"/>
    <col min="10739" max="10739" width="22" style="4" customWidth="1"/>
    <col min="10740" max="10740" width="24.7109375" style="4" customWidth="1"/>
    <col min="10741" max="10741" width="28.7109375" style="4" customWidth="1"/>
    <col min="10742" max="10742" width="23.5703125" style="4" customWidth="1"/>
    <col min="10743" max="10743" width="24.28515625" style="4" customWidth="1"/>
    <col min="10744" max="10744" width="23.5703125" style="4" customWidth="1"/>
    <col min="10745" max="10749" width="24.28515625" style="4" customWidth="1"/>
    <col min="10750" max="10750" width="22.7109375" style="4" customWidth="1"/>
    <col min="10751" max="10751" width="21.5703125" style="4" customWidth="1"/>
    <col min="10752" max="10752" width="21.42578125" style="4" customWidth="1"/>
    <col min="10753" max="10753" width="22.28515625" style="4" customWidth="1"/>
    <col min="10754" max="10754" width="22.5703125" style="4" customWidth="1"/>
    <col min="10755" max="10755" width="23.28515625" style="4" customWidth="1"/>
    <col min="10756" max="10757" width="20.5703125" style="4" customWidth="1"/>
    <col min="10758" max="10758" width="21.28515625" style="4" customWidth="1"/>
    <col min="10759" max="10759" width="21.42578125" style="4" customWidth="1"/>
    <col min="10760" max="10760" width="22" style="4" customWidth="1"/>
    <col min="10761" max="10762" width="21.5703125" style="4" customWidth="1"/>
    <col min="10763" max="10763" width="22.28515625" style="4" customWidth="1"/>
    <col min="10764" max="10764" width="25.42578125" style="4" customWidth="1"/>
    <col min="10765" max="10765" width="25.28515625" style="4" customWidth="1"/>
    <col min="10766" max="10766" width="28.7109375" style="4" customWidth="1"/>
    <col min="10767" max="10767" width="22.140625" style="4" customWidth="1"/>
    <col min="10768" max="10768" width="22" style="4" customWidth="1"/>
    <col min="10769" max="10769" width="24.5703125" style="4" customWidth="1"/>
    <col min="10770" max="10770" width="19.7109375" style="4" customWidth="1"/>
    <col min="10771" max="10771" width="29.140625" style="4" customWidth="1"/>
    <col min="10772" max="10772" width="25.140625" style="4" customWidth="1"/>
    <col min="10773" max="10774" width="29.42578125" style="4" customWidth="1"/>
    <col min="10775" max="10776" width="23.7109375" style="4" customWidth="1"/>
    <col min="10777" max="10777" width="26.7109375" style="4" customWidth="1"/>
    <col min="10778" max="10778" width="29.85546875" style="4" customWidth="1"/>
    <col min="10779" max="10781" width="23.28515625" style="4" customWidth="1"/>
    <col min="10782" max="10782" width="23.85546875" style="4" customWidth="1"/>
    <col min="10783" max="10783" width="26.7109375" style="4" customWidth="1"/>
    <col min="10784" max="10784" width="24.5703125" style="4" customWidth="1"/>
    <col min="10785" max="10785" width="26.85546875" style="4" customWidth="1"/>
    <col min="10786" max="10787" width="23.5703125" style="4" customWidth="1"/>
    <col min="10788" max="10788" width="28.7109375" style="4" customWidth="1"/>
    <col min="10789" max="10789" width="34.42578125" style="4" customWidth="1"/>
    <col min="10790" max="10790" width="29.7109375" style="4" customWidth="1"/>
    <col min="10791" max="10791" width="22" style="4" customWidth="1"/>
    <col min="10792" max="10792" width="23.7109375" style="4" customWidth="1"/>
    <col min="10793" max="10793" width="23.5703125" style="4" customWidth="1"/>
    <col min="10794" max="10797" width="22.140625" style="4" customWidth="1"/>
    <col min="10798" max="10798" width="25.28515625" style="4" customWidth="1"/>
    <col min="10799" max="10799" width="45.42578125" style="4" customWidth="1"/>
    <col min="10800" max="10800" width="24.7109375" style="4" customWidth="1"/>
    <col min="10801" max="10801" width="26.42578125" style="4" customWidth="1"/>
    <col min="10802" max="10802" width="29.28515625" style="4" customWidth="1"/>
    <col min="10803" max="10805" width="27.28515625" style="4" customWidth="1"/>
    <col min="10806" max="10806" width="31.7109375" style="4" customWidth="1"/>
    <col min="10807" max="10807" width="27.7109375" style="4" customWidth="1"/>
    <col min="10808" max="10810" width="28.28515625" style="4" customWidth="1"/>
    <col min="10811" max="10811" width="24.7109375" style="4" customWidth="1"/>
    <col min="10812" max="10812" width="24.140625" style="4" customWidth="1"/>
    <col min="10813" max="10815" width="22.28515625" style="4" customWidth="1"/>
    <col min="10816" max="10816" width="22.42578125" style="4" customWidth="1"/>
    <col min="10817" max="10817" width="23.7109375" style="4" customWidth="1"/>
    <col min="10818" max="10820" width="9.28515625" style="4" customWidth="1"/>
    <col min="10821" max="10974" width="9.28515625" style="4"/>
    <col min="10975" max="10975" width="26.28515625" style="4" customWidth="1"/>
    <col min="10976" max="10976" width="45.42578125" style="4" customWidth="1"/>
    <col min="10977" max="10977" width="14.85546875" style="4" customWidth="1"/>
    <col min="10978" max="10981" width="9.28515625" style="4" customWidth="1"/>
    <col min="10982" max="10982" width="0.140625" style="4" customWidth="1"/>
    <col min="10983" max="10983" width="29.42578125" style="4" customWidth="1"/>
    <col min="10984" max="10984" width="24.42578125" style="4" customWidth="1"/>
    <col min="10985" max="10985" width="26.7109375" style="4" customWidth="1"/>
    <col min="10986" max="10986" width="24.85546875" style="4" customWidth="1"/>
    <col min="10987" max="10987" width="21.28515625" style="4" customWidth="1"/>
    <col min="10988" max="10991" width="21.5703125" style="4" customWidth="1"/>
    <col min="10992" max="10992" width="28.28515625" style="4" customWidth="1"/>
    <col min="10993" max="10993" width="33" style="4" customWidth="1"/>
    <col min="10994" max="10994" width="22.85546875" style="4" customWidth="1"/>
    <col min="10995" max="10995" width="22" style="4" customWidth="1"/>
    <col min="10996" max="10996" width="24.7109375" style="4" customWidth="1"/>
    <col min="10997" max="10997" width="28.7109375" style="4" customWidth="1"/>
    <col min="10998" max="10998" width="23.5703125" style="4" customWidth="1"/>
    <col min="10999" max="10999" width="24.28515625" style="4" customWidth="1"/>
    <col min="11000" max="11000" width="23.5703125" style="4" customWidth="1"/>
    <col min="11001" max="11005" width="24.28515625" style="4" customWidth="1"/>
    <col min="11006" max="11006" width="22.7109375" style="4" customWidth="1"/>
    <col min="11007" max="11007" width="21.5703125" style="4" customWidth="1"/>
    <col min="11008" max="11008" width="21.42578125" style="4" customWidth="1"/>
    <col min="11009" max="11009" width="22.28515625" style="4" customWidth="1"/>
    <col min="11010" max="11010" width="22.5703125" style="4" customWidth="1"/>
    <col min="11011" max="11011" width="23.28515625" style="4" customWidth="1"/>
    <col min="11012" max="11013" width="20.5703125" style="4" customWidth="1"/>
    <col min="11014" max="11014" width="21.28515625" style="4" customWidth="1"/>
    <col min="11015" max="11015" width="21.42578125" style="4" customWidth="1"/>
    <col min="11016" max="11016" width="22" style="4" customWidth="1"/>
    <col min="11017" max="11018" width="21.5703125" style="4" customWidth="1"/>
    <col min="11019" max="11019" width="22.28515625" style="4" customWidth="1"/>
    <col min="11020" max="11020" width="25.42578125" style="4" customWidth="1"/>
    <col min="11021" max="11021" width="25.28515625" style="4" customWidth="1"/>
    <col min="11022" max="11022" width="28.7109375" style="4" customWidth="1"/>
    <col min="11023" max="11023" width="22.140625" style="4" customWidth="1"/>
    <col min="11024" max="11024" width="22" style="4" customWidth="1"/>
    <col min="11025" max="11025" width="24.5703125" style="4" customWidth="1"/>
    <col min="11026" max="11026" width="19.7109375" style="4" customWidth="1"/>
    <col min="11027" max="11027" width="29.140625" style="4" customWidth="1"/>
    <col min="11028" max="11028" width="25.140625" style="4" customWidth="1"/>
    <col min="11029" max="11030" width="29.42578125" style="4" customWidth="1"/>
    <col min="11031" max="11032" width="23.7109375" style="4" customWidth="1"/>
    <col min="11033" max="11033" width="26.7109375" style="4" customWidth="1"/>
    <col min="11034" max="11034" width="29.85546875" style="4" customWidth="1"/>
    <col min="11035" max="11037" width="23.28515625" style="4" customWidth="1"/>
    <col min="11038" max="11038" width="23.85546875" style="4" customWidth="1"/>
    <col min="11039" max="11039" width="26.7109375" style="4" customWidth="1"/>
    <col min="11040" max="11040" width="24.5703125" style="4" customWidth="1"/>
    <col min="11041" max="11041" width="26.85546875" style="4" customWidth="1"/>
    <col min="11042" max="11043" width="23.5703125" style="4" customWidth="1"/>
    <col min="11044" max="11044" width="28.7109375" style="4" customWidth="1"/>
    <col min="11045" max="11045" width="34.42578125" style="4" customWidth="1"/>
    <col min="11046" max="11046" width="29.7109375" style="4" customWidth="1"/>
    <col min="11047" max="11047" width="22" style="4" customWidth="1"/>
    <col min="11048" max="11048" width="23.7109375" style="4" customWidth="1"/>
    <col min="11049" max="11049" width="23.5703125" style="4" customWidth="1"/>
    <col min="11050" max="11053" width="22.140625" style="4" customWidth="1"/>
    <col min="11054" max="11054" width="25.28515625" style="4" customWidth="1"/>
    <col min="11055" max="11055" width="45.42578125" style="4" customWidth="1"/>
    <col min="11056" max="11056" width="24.7109375" style="4" customWidth="1"/>
    <col min="11057" max="11057" width="26.42578125" style="4" customWidth="1"/>
    <col min="11058" max="11058" width="29.28515625" style="4" customWidth="1"/>
    <col min="11059" max="11061" width="27.28515625" style="4" customWidth="1"/>
    <col min="11062" max="11062" width="31.7109375" style="4" customWidth="1"/>
    <col min="11063" max="11063" width="27.7109375" style="4" customWidth="1"/>
    <col min="11064" max="11066" width="28.28515625" style="4" customWidth="1"/>
    <col min="11067" max="11067" width="24.7109375" style="4" customWidth="1"/>
    <col min="11068" max="11068" width="24.140625" style="4" customWidth="1"/>
    <col min="11069" max="11071" width="22.28515625" style="4" customWidth="1"/>
    <col min="11072" max="11072" width="22.42578125" style="4" customWidth="1"/>
    <col min="11073" max="11073" width="23.7109375" style="4" customWidth="1"/>
    <col min="11074" max="11076" width="9.28515625" style="4" customWidth="1"/>
    <col min="11077" max="11230" width="9.28515625" style="4"/>
    <col min="11231" max="11231" width="26.28515625" style="4" customWidth="1"/>
    <col min="11232" max="11232" width="45.42578125" style="4" customWidth="1"/>
    <col min="11233" max="11233" width="14.85546875" style="4" customWidth="1"/>
    <col min="11234" max="11237" width="9.28515625" style="4" customWidth="1"/>
    <col min="11238" max="11238" width="0.140625" style="4" customWidth="1"/>
    <col min="11239" max="11239" width="29.42578125" style="4" customWidth="1"/>
    <col min="11240" max="11240" width="24.42578125" style="4" customWidth="1"/>
    <col min="11241" max="11241" width="26.7109375" style="4" customWidth="1"/>
    <col min="11242" max="11242" width="24.85546875" style="4" customWidth="1"/>
    <col min="11243" max="11243" width="21.28515625" style="4" customWidth="1"/>
    <col min="11244" max="11247" width="21.5703125" style="4" customWidth="1"/>
    <col min="11248" max="11248" width="28.28515625" style="4" customWidth="1"/>
    <col min="11249" max="11249" width="33" style="4" customWidth="1"/>
    <col min="11250" max="11250" width="22.85546875" style="4" customWidth="1"/>
    <col min="11251" max="11251" width="22" style="4" customWidth="1"/>
    <col min="11252" max="11252" width="24.7109375" style="4" customWidth="1"/>
    <col min="11253" max="11253" width="28.7109375" style="4" customWidth="1"/>
    <col min="11254" max="11254" width="23.5703125" style="4" customWidth="1"/>
    <col min="11255" max="11255" width="24.28515625" style="4" customWidth="1"/>
    <col min="11256" max="11256" width="23.5703125" style="4" customWidth="1"/>
    <col min="11257" max="11261" width="24.28515625" style="4" customWidth="1"/>
    <col min="11262" max="11262" width="22.7109375" style="4" customWidth="1"/>
    <col min="11263" max="11263" width="21.5703125" style="4" customWidth="1"/>
    <col min="11264" max="11264" width="21.42578125" style="4" customWidth="1"/>
    <col min="11265" max="11265" width="22.28515625" style="4" customWidth="1"/>
    <col min="11266" max="11266" width="22.5703125" style="4" customWidth="1"/>
    <col min="11267" max="11267" width="23.28515625" style="4" customWidth="1"/>
    <col min="11268" max="11269" width="20.5703125" style="4" customWidth="1"/>
    <col min="11270" max="11270" width="21.28515625" style="4" customWidth="1"/>
    <col min="11271" max="11271" width="21.42578125" style="4" customWidth="1"/>
    <col min="11272" max="11272" width="22" style="4" customWidth="1"/>
    <col min="11273" max="11274" width="21.5703125" style="4" customWidth="1"/>
    <col min="11275" max="11275" width="22.28515625" style="4" customWidth="1"/>
    <col min="11276" max="11276" width="25.42578125" style="4" customWidth="1"/>
    <col min="11277" max="11277" width="25.28515625" style="4" customWidth="1"/>
    <col min="11278" max="11278" width="28.7109375" style="4" customWidth="1"/>
    <col min="11279" max="11279" width="22.140625" style="4" customWidth="1"/>
    <col min="11280" max="11280" width="22" style="4" customWidth="1"/>
    <col min="11281" max="11281" width="24.5703125" style="4" customWidth="1"/>
    <col min="11282" max="11282" width="19.7109375" style="4" customWidth="1"/>
    <col min="11283" max="11283" width="29.140625" style="4" customWidth="1"/>
    <col min="11284" max="11284" width="25.140625" style="4" customWidth="1"/>
    <col min="11285" max="11286" width="29.42578125" style="4" customWidth="1"/>
    <col min="11287" max="11288" width="23.7109375" style="4" customWidth="1"/>
    <col min="11289" max="11289" width="26.7109375" style="4" customWidth="1"/>
    <col min="11290" max="11290" width="29.85546875" style="4" customWidth="1"/>
    <col min="11291" max="11293" width="23.28515625" style="4" customWidth="1"/>
    <col min="11294" max="11294" width="23.85546875" style="4" customWidth="1"/>
    <col min="11295" max="11295" width="26.7109375" style="4" customWidth="1"/>
    <col min="11296" max="11296" width="24.5703125" style="4" customWidth="1"/>
    <col min="11297" max="11297" width="26.85546875" style="4" customWidth="1"/>
    <col min="11298" max="11299" width="23.5703125" style="4" customWidth="1"/>
    <col min="11300" max="11300" width="28.7109375" style="4" customWidth="1"/>
    <col min="11301" max="11301" width="34.42578125" style="4" customWidth="1"/>
    <col min="11302" max="11302" width="29.7109375" style="4" customWidth="1"/>
    <col min="11303" max="11303" width="22" style="4" customWidth="1"/>
    <col min="11304" max="11304" width="23.7109375" style="4" customWidth="1"/>
    <col min="11305" max="11305" width="23.5703125" style="4" customWidth="1"/>
    <col min="11306" max="11309" width="22.140625" style="4" customWidth="1"/>
    <col min="11310" max="11310" width="25.28515625" style="4" customWidth="1"/>
    <col min="11311" max="11311" width="45.42578125" style="4" customWidth="1"/>
    <col min="11312" max="11312" width="24.7109375" style="4" customWidth="1"/>
    <col min="11313" max="11313" width="26.42578125" style="4" customWidth="1"/>
    <col min="11314" max="11314" width="29.28515625" style="4" customWidth="1"/>
    <col min="11315" max="11317" width="27.28515625" style="4" customWidth="1"/>
    <col min="11318" max="11318" width="31.7109375" style="4" customWidth="1"/>
    <col min="11319" max="11319" width="27.7109375" style="4" customWidth="1"/>
    <col min="11320" max="11322" width="28.28515625" style="4" customWidth="1"/>
    <col min="11323" max="11323" width="24.7109375" style="4" customWidth="1"/>
    <col min="11324" max="11324" width="24.140625" style="4" customWidth="1"/>
    <col min="11325" max="11327" width="22.28515625" style="4" customWidth="1"/>
    <col min="11328" max="11328" width="22.42578125" style="4" customWidth="1"/>
    <col min="11329" max="11329" width="23.7109375" style="4" customWidth="1"/>
    <col min="11330" max="11332" width="9.28515625" style="4" customWidth="1"/>
    <col min="11333" max="11486" width="9.28515625" style="4"/>
    <col min="11487" max="11487" width="26.28515625" style="4" customWidth="1"/>
    <col min="11488" max="11488" width="45.42578125" style="4" customWidth="1"/>
    <col min="11489" max="11489" width="14.85546875" style="4" customWidth="1"/>
    <col min="11490" max="11493" width="9.28515625" style="4" customWidth="1"/>
    <col min="11494" max="11494" width="0.140625" style="4" customWidth="1"/>
    <col min="11495" max="11495" width="29.42578125" style="4" customWidth="1"/>
    <col min="11496" max="11496" width="24.42578125" style="4" customWidth="1"/>
    <col min="11497" max="11497" width="26.7109375" style="4" customWidth="1"/>
    <col min="11498" max="11498" width="24.85546875" style="4" customWidth="1"/>
    <col min="11499" max="11499" width="21.28515625" style="4" customWidth="1"/>
    <col min="11500" max="11503" width="21.5703125" style="4" customWidth="1"/>
    <col min="11504" max="11504" width="28.28515625" style="4" customWidth="1"/>
    <col min="11505" max="11505" width="33" style="4" customWidth="1"/>
    <col min="11506" max="11506" width="22.85546875" style="4" customWidth="1"/>
    <col min="11507" max="11507" width="22" style="4" customWidth="1"/>
    <col min="11508" max="11508" width="24.7109375" style="4" customWidth="1"/>
    <col min="11509" max="11509" width="28.7109375" style="4" customWidth="1"/>
    <col min="11510" max="11510" width="23.5703125" style="4" customWidth="1"/>
    <col min="11511" max="11511" width="24.28515625" style="4" customWidth="1"/>
    <col min="11512" max="11512" width="23.5703125" style="4" customWidth="1"/>
    <col min="11513" max="11517" width="24.28515625" style="4" customWidth="1"/>
    <col min="11518" max="11518" width="22.7109375" style="4" customWidth="1"/>
    <col min="11519" max="11519" width="21.5703125" style="4" customWidth="1"/>
    <col min="11520" max="11520" width="21.42578125" style="4" customWidth="1"/>
    <col min="11521" max="11521" width="22.28515625" style="4" customWidth="1"/>
    <col min="11522" max="11522" width="22.5703125" style="4" customWidth="1"/>
    <col min="11523" max="11523" width="23.28515625" style="4" customWidth="1"/>
    <col min="11524" max="11525" width="20.5703125" style="4" customWidth="1"/>
    <col min="11526" max="11526" width="21.28515625" style="4" customWidth="1"/>
    <col min="11527" max="11527" width="21.42578125" style="4" customWidth="1"/>
    <col min="11528" max="11528" width="22" style="4" customWidth="1"/>
    <col min="11529" max="11530" width="21.5703125" style="4" customWidth="1"/>
    <col min="11531" max="11531" width="22.28515625" style="4" customWidth="1"/>
    <col min="11532" max="11532" width="25.42578125" style="4" customWidth="1"/>
    <col min="11533" max="11533" width="25.28515625" style="4" customWidth="1"/>
    <col min="11534" max="11534" width="28.7109375" style="4" customWidth="1"/>
    <col min="11535" max="11535" width="22.140625" style="4" customWidth="1"/>
    <col min="11536" max="11536" width="22" style="4" customWidth="1"/>
    <col min="11537" max="11537" width="24.5703125" style="4" customWidth="1"/>
    <col min="11538" max="11538" width="19.7109375" style="4" customWidth="1"/>
    <col min="11539" max="11539" width="29.140625" style="4" customWidth="1"/>
    <col min="11540" max="11540" width="25.140625" style="4" customWidth="1"/>
    <col min="11541" max="11542" width="29.42578125" style="4" customWidth="1"/>
    <col min="11543" max="11544" width="23.7109375" style="4" customWidth="1"/>
    <col min="11545" max="11545" width="26.7109375" style="4" customWidth="1"/>
    <col min="11546" max="11546" width="29.85546875" style="4" customWidth="1"/>
    <col min="11547" max="11549" width="23.28515625" style="4" customWidth="1"/>
    <col min="11550" max="11550" width="23.85546875" style="4" customWidth="1"/>
    <col min="11551" max="11551" width="26.7109375" style="4" customWidth="1"/>
    <col min="11552" max="11552" width="24.5703125" style="4" customWidth="1"/>
    <col min="11553" max="11553" width="26.85546875" style="4" customWidth="1"/>
    <col min="11554" max="11555" width="23.5703125" style="4" customWidth="1"/>
    <col min="11556" max="11556" width="28.7109375" style="4" customWidth="1"/>
    <col min="11557" max="11557" width="34.42578125" style="4" customWidth="1"/>
    <col min="11558" max="11558" width="29.7109375" style="4" customWidth="1"/>
    <col min="11559" max="11559" width="22" style="4" customWidth="1"/>
    <col min="11560" max="11560" width="23.7109375" style="4" customWidth="1"/>
    <col min="11561" max="11561" width="23.5703125" style="4" customWidth="1"/>
    <col min="11562" max="11565" width="22.140625" style="4" customWidth="1"/>
    <col min="11566" max="11566" width="25.28515625" style="4" customWidth="1"/>
    <col min="11567" max="11567" width="45.42578125" style="4" customWidth="1"/>
    <col min="11568" max="11568" width="24.7109375" style="4" customWidth="1"/>
    <col min="11569" max="11569" width="26.42578125" style="4" customWidth="1"/>
    <col min="11570" max="11570" width="29.28515625" style="4" customWidth="1"/>
    <col min="11571" max="11573" width="27.28515625" style="4" customWidth="1"/>
    <col min="11574" max="11574" width="31.7109375" style="4" customWidth="1"/>
    <col min="11575" max="11575" width="27.7109375" style="4" customWidth="1"/>
    <col min="11576" max="11578" width="28.28515625" style="4" customWidth="1"/>
    <col min="11579" max="11579" width="24.7109375" style="4" customWidth="1"/>
    <col min="11580" max="11580" width="24.140625" style="4" customWidth="1"/>
    <col min="11581" max="11583" width="22.28515625" style="4" customWidth="1"/>
    <col min="11584" max="11584" width="22.42578125" style="4" customWidth="1"/>
    <col min="11585" max="11585" width="23.7109375" style="4" customWidth="1"/>
    <col min="11586" max="11588" width="9.28515625" style="4" customWidth="1"/>
    <col min="11589" max="11742" width="9.28515625" style="4"/>
    <col min="11743" max="11743" width="26.28515625" style="4" customWidth="1"/>
    <col min="11744" max="11744" width="45.42578125" style="4" customWidth="1"/>
    <col min="11745" max="11745" width="14.85546875" style="4" customWidth="1"/>
    <col min="11746" max="11749" width="9.28515625" style="4" customWidth="1"/>
    <col min="11750" max="11750" width="0.140625" style="4" customWidth="1"/>
    <col min="11751" max="11751" width="29.42578125" style="4" customWidth="1"/>
    <col min="11752" max="11752" width="24.42578125" style="4" customWidth="1"/>
    <col min="11753" max="11753" width="26.7109375" style="4" customWidth="1"/>
    <col min="11754" max="11754" width="24.85546875" style="4" customWidth="1"/>
    <col min="11755" max="11755" width="21.28515625" style="4" customWidth="1"/>
    <col min="11756" max="11759" width="21.5703125" style="4" customWidth="1"/>
    <col min="11760" max="11760" width="28.28515625" style="4" customWidth="1"/>
    <col min="11761" max="11761" width="33" style="4" customWidth="1"/>
    <col min="11762" max="11762" width="22.85546875" style="4" customWidth="1"/>
    <col min="11763" max="11763" width="22" style="4" customWidth="1"/>
    <col min="11764" max="11764" width="24.7109375" style="4" customWidth="1"/>
    <col min="11765" max="11765" width="28.7109375" style="4" customWidth="1"/>
    <col min="11766" max="11766" width="23.5703125" style="4" customWidth="1"/>
    <col min="11767" max="11767" width="24.28515625" style="4" customWidth="1"/>
    <col min="11768" max="11768" width="23.5703125" style="4" customWidth="1"/>
    <col min="11769" max="11773" width="24.28515625" style="4" customWidth="1"/>
    <col min="11774" max="11774" width="22.7109375" style="4" customWidth="1"/>
    <col min="11775" max="11775" width="21.5703125" style="4" customWidth="1"/>
    <col min="11776" max="11776" width="21.42578125" style="4" customWidth="1"/>
    <col min="11777" max="11777" width="22.28515625" style="4" customWidth="1"/>
    <col min="11778" max="11778" width="22.5703125" style="4" customWidth="1"/>
    <col min="11779" max="11779" width="23.28515625" style="4" customWidth="1"/>
    <col min="11780" max="11781" width="20.5703125" style="4" customWidth="1"/>
    <col min="11782" max="11782" width="21.28515625" style="4" customWidth="1"/>
    <col min="11783" max="11783" width="21.42578125" style="4" customWidth="1"/>
    <col min="11784" max="11784" width="22" style="4" customWidth="1"/>
    <col min="11785" max="11786" width="21.5703125" style="4" customWidth="1"/>
    <col min="11787" max="11787" width="22.28515625" style="4" customWidth="1"/>
    <col min="11788" max="11788" width="25.42578125" style="4" customWidth="1"/>
    <col min="11789" max="11789" width="25.28515625" style="4" customWidth="1"/>
    <col min="11790" max="11790" width="28.7109375" style="4" customWidth="1"/>
    <col min="11791" max="11791" width="22.140625" style="4" customWidth="1"/>
    <col min="11792" max="11792" width="22" style="4" customWidth="1"/>
    <col min="11793" max="11793" width="24.5703125" style="4" customWidth="1"/>
    <col min="11794" max="11794" width="19.7109375" style="4" customWidth="1"/>
    <col min="11795" max="11795" width="29.140625" style="4" customWidth="1"/>
    <col min="11796" max="11796" width="25.140625" style="4" customWidth="1"/>
    <col min="11797" max="11798" width="29.42578125" style="4" customWidth="1"/>
    <col min="11799" max="11800" width="23.7109375" style="4" customWidth="1"/>
    <col min="11801" max="11801" width="26.7109375" style="4" customWidth="1"/>
    <col min="11802" max="11802" width="29.85546875" style="4" customWidth="1"/>
    <col min="11803" max="11805" width="23.28515625" style="4" customWidth="1"/>
    <col min="11806" max="11806" width="23.85546875" style="4" customWidth="1"/>
    <col min="11807" max="11807" width="26.7109375" style="4" customWidth="1"/>
    <col min="11808" max="11808" width="24.5703125" style="4" customWidth="1"/>
    <col min="11809" max="11809" width="26.85546875" style="4" customWidth="1"/>
    <col min="11810" max="11811" width="23.5703125" style="4" customWidth="1"/>
    <col min="11812" max="11812" width="28.7109375" style="4" customWidth="1"/>
    <col min="11813" max="11813" width="34.42578125" style="4" customWidth="1"/>
    <col min="11814" max="11814" width="29.7109375" style="4" customWidth="1"/>
    <col min="11815" max="11815" width="22" style="4" customWidth="1"/>
    <col min="11816" max="11816" width="23.7109375" style="4" customWidth="1"/>
    <col min="11817" max="11817" width="23.5703125" style="4" customWidth="1"/>
    <col min="11818" max="11821" width="22.140625" style="4" customWidth="1"/>
    <col min="11822" max="11822" width="25.28515625" style="4" customWidth="1"/>
    <col min="11823" max="11823" width="45.42578125" style="4" customWidth="1"/>
    <col min="11824" max="11824" width="24.7109375" style="4" customWidth="1"/>
    <col min="11825" max="11825" width="26.42578125" style="4" customWidth="1"/>
    <col min="11826" max="11826" width="29.28515625" style="4" customWidth="1"/>
    <col min="11827" max="11829" width="27.28515625" style="4" customWidth="1"/>
    <col min="11830" max="11830" width="31.7109375" style="4" customWidth="1"/>
    <col min="11831" max="11831" width="27.7109375" style="4" customWidth="1"/>
    <col min="11832" max="11834" width="28.28515625" style="4" customWidth="1"/>
    <col min="11835" max="11835" width="24.7109375" style="4" customWidth="1"/>
    <col min="11836" max="11836" width="24.140625" style="4" customWidth="1"/>
    <col min="11837" max="11839" width="22.28515625" style="4" customWidth="1"/>
    <col min="11840" max="11840" width="22.42578125" style="4" customWidth="1"/>
    <col min="11841" max="11841" width="23.7109375" style="4" customWidth="1"/>
    <col min="11842" max="11844" width="9.28515625" style="4" customWidth="1"/>
    <col min="11845" max="11998" width="9.28515625" style="4"/>
    <col min="11999" max="11999" width="26.28515625" style="4" customWidth="1"/>
    <col min="12000" max="12000" width="45.42578125" style="4" customWidth="1"/>
    <col min="12001" max="12001" width="14.85546875" style="4" customWidth="1"/>
    <col min="12002" max="12005" width="9.28515625" style="4" customWidth="1"/>
    <col min="12006" max="12006" width="0.140625" style="4" customWidth="1"/>
    <col min="12007" max="12007" width="29.42578125" style="4" customWidth="1"/>
    <col min="12008" max="12008" width="24.42578125" style="4" customWidth="1"/>
    <col min="12009" max="12009" width="26.7109375" style="4" customWidth="1"/>
    <col min="12010" max="12010" width="24.85546875" style="4" customWidth="1"/>
    <col min="12011" max="12011" width="21.28515625" style="4" customWidth="1"/>
    <col min="12012" max="12015" width="21.5703125" style="4" customWidth="1"/>
    <col min="12016" max="12016" width="28.28515625" style="4" customWidth="1"/>
    <col min="12017" max="12017" width="33" style="4" customWidth="1"/>
    <col min="12018" max="12018" width="22.85546875" style="4" customWidth="1"/>
    <col min="12019" max="12019" width="22" style="4" customWidth="1"/>
    <col min="12020" max="12020" width="24.7109375" style="4" customWidth="1"/>
    <col min="12021" max="12021" width="28.7109375" style="4" customWidth="1"/>
    <col min="12022" max="12022" width="23.5703125" style="4" customWidth="1"/>
    <col min="12023" max="12023" width="24.28515625" style="4" customWidth="1"/>
    <col min="12024" max="12024" width="23.5703125" style="4" customWidth="1"/>
    <col min="12025" max="12029" width="24.28515625" style="4" customWidth="1"/>
    <col min="12030" max="12030" width="22.7109375" style="4" customWidth="1"/>
    <col min="12031" max="12031" width="21.5703125" style="4" customWidth="1"/>
    <col min="12032" max="12032" width="21.42578125" style="4" customWidth="1"/>
    <col min="12033" max="12033" width="22.28515625" style="4" customWidth="1"/>
    <col min="12034" max="12034" width="22.5703125" style="4" customWidth="1"/>
    <col min="12035" max="12035" width="23.28515625" style="4" customWidth="1"/>
    <col min="12036" max="12037" width="20.5703125" style="4" customWidth="1"/>
    <col min="12038" max="12038" width="21.28515625" style="4" customWidth="1"/>
    <col min="12039" max="12039" width="21.42578125" style="4" customWidth="1"/>
    <col min="12040" max="12040" width="22" style="4" customWidth="1"/>
    <col min="12041" max="12042" width="21.5703125" style="4" customWidth="1"/>
    <col min="12043" max="12043" width="22.28515625" style="4" customWidth="1"/>
    <col min="12044" max="12044" width="25.42578125" style="4" customWidth="1"/>
    <col min="12045" max="12045" width="25.28515625" style="4" customWidth="1"/>
    <col min="12046" max="12046" width="28.7109375" style="4" customWidth="1"/>
    <col min="12047" max="12047" width="22.140625" style="4" customWidth="1"/>
    <col min="12048" max="12048" width="22" style="4" customWidth="1"/>
    <col min="12049" max="12049" width="24.5703125" style="4" customWidth="1"/>
    <col min="12050" max="12050" width="19.7109375" style="4" customWidth="1"/>
    <col min="12051" max="12051" width="29.140625" style="4" customWidth="1"/>
    <col min="12052" max="12052" width="25.140625" style="4" customWidth="1"/>
    <col min="12053" max="12054" width="29.42578125" style="4" customWidth="1"/>
    <col min="12055" max="12056" width="23.7109375" style="4" customWidth="1"/>
    <col min="12057" max="12057" width="26.7109375" style="4" customWidth="1"/>
    <col min="12058" max="12058" width="29.85546875" style="4" customWidth="1"/>
    <col min="12059" max="12061" width="23.28515625" style="4" customWidth="1"/>
    <col min="12062" max="12062" width="23.85546875" style="4" customWidth="1"/>
    <col min="12063" max="12063" width="26.7109375" style="4" customWidth="1"/>
    <col min="12064" max="12064" width="24.5703125" style="4" customWidth="1"/>
    <col min="12065" max="12065" width="26.85546875" style="4" customWidth="1"/>
    <col min="12066" max="12067" width="23.5703125" style="4" customWidth="1"/>
    <col min="12068" max="12068" width="28.7109375" style="4" customWidth="1"/>
    <col min="12069" max="12069" width="34.42578125" style="4" customWidth="1"/>
    <col min="12070" max="12070" width="29.7109375" style="4" customWidth="1"/>
    <col min="12071" max="12071" width="22" style="4" customWidth="1"/>
    <col min="12072" max="12072" width="23.7109375" style="4" customWidth="1"/>
    <col min="12073" max="12073" width="23.5703125" style="4" customWidth="1"/>
    <col min="12074" max="12077" width="22.140625" style="4" customWidth="1"/>
    <col min="12078" max="12078" width="25.28515625" style="4" customWidth="1"/>
    <col min="12079" max="12079" width="45.42578125" style="4" customWidth="1"/>
    <col min="12080" max="12080" width="24.7109375" style="4" customWidth="1"/>
    <col min="12081" max="12081" width="26.42578125" style="4" customWidth="1"/>
    <col min="12082" max="12082" width="29.28515625" style="4" customWidth="1"/>
    <col min="12083" max="12085" width="27.28515625" style="4" customWidth="1"/>
    <col min="12086" max="12086" width="31.7109375" style="4" customWidth="1"/>
    <col min="12087" max="12087" width="27.7109375" style="4" customWidth="1"/>
    <col min="12088" max="12090" width="28.28515625" style="4" customWidth="1"/>
    <col min="12091" max="12091" width="24.7109375" style="4" customWidth="1"/>
    <col min="12092" max="12092" width="24.140625" style="4" customWidth="1"/>
    <col min="12093" max="12095" width="22.28515625" style="4" customWidth="1"/>
    <col min="12096" max="12096" width="22.42578125" style="4" customWidth="1"/>
    <col min="12097" max="12097" width="23.7109375" style="4" customWidth="1"/>
    <col min="12098" max="12100" width="9.28515625" style="4" customWidth="1"/>
    <col min="12101" max="12254" width="9.28515625" style="4"/>
    <col min="12255" max="12255" width="26.28515625" style="4" customWidth="1"/>
    <col min="12256" max="12256" width="45.42578125" style="4" customWidth="1"/>
    <col min="12257" max="12257" width="14.85546875" style="4" customWidth="1"/>
    <col min="12258" max="12261" width="9.28515625" style="4" customWidth="1"/>
    <col min="12262" max="12262" width="0.140625" style="4" customWidth="1"/>
    <col min="12263" max="12263" width="29.42578125" style="4" customWidth="1"/>
    <col min="12264" max="12264" width="24.42578125" style="4" customWidth="1"/>
    <col min="12265" max="12265" width="26.7109375" style="4" customWidth="1"/>
    <col min="12266" max="12266" width="24.85546875" style="4" customWidth="1"/>
    <col min="12267" max="12267" width="21.28515625" style="4" customWidth="1"/>
    <col min="12268" max="12271" width="21.5703125" style="4" customWidth="1"/>
    <col min="12272" max="12272" width="28.28515625" style="4" customWidth="1"/>
    <col min="12273" max="12273" width="33" style="4" customWidth="1"/>
    <col min="12274" max="12274" width="22.85546875" style="4" customWidth="1"/>
    <col min="12275" max="12275" width="22" style="4" customWidth="1"/>
    <col min="12276" max="12276" width="24.7109375" style="4" customWidth="1"/>
    <col min="12277" max="12277" width="28.7109375" style="4" customWidth="1"/>
    <col min="12278" max="12278" width="23.5703125" style="4" customWidth="1"/>
    <col min="12279" max="12279" width="24.28515625" style="4" customWidth="1"/>
    <col min="12280" max="12280" width="23.5703125" style="4" customWidth="1"/>
    <col min="12281" max="12285" width="24.28515625" style="4" customWidth="1"/>
    <col min="12286" max="12286" width="22.7109375" style="4" customWidth="1"/>
    <col min="12287" max="12287" width="21.5703125" style="4" customWidth="1"/>
    <col min="12288" max="12288" width="21.42578125" style="4" customWidth="1"/>
    <col min="12289" max="12289" width="22.28515625" style="4" customWidth="1"/>
    <col min="12290" max="12290" width="22.5703125" style="4" customWidth="1"/>
    <col min="12291" max="12291" width="23.28515625" style="4" customWidth="1"/>
    <col min="12292" max="12293" width="20.5703125" style="4" customWidth="1"/>
    <col min="12294" max="12294" width="21.28515625" style="4" customWidth="1"/>
    <col min="12295" max="12295" width="21.42578125" style="4" customWidth="1"/>
    <col min="12296" max="12296" width="22" style="4" customWidth="1"/>
    <col min="12297" max="12298" width="21.5703125" style="4" customWidth="1"/>
    <col min="12299" max="12299" width="22.28515625" style="4" customWidth="1"/>
    <col min="12300" max="12300" width="25.42578125" style="4" customWidth="1"/>
    <col min="12301" max="12301" width="25.28515625" style="4" customWidth="1"/>
    <col min="12302" max="12302" width="28.7109375" style="4" customWidth="1"/>
    <col min="12303" max="12303" width="22.140625" style="4" customWidth="1"/>
    <col min="12304" max="12304" width="22" style="4" customWidth="1"/>
    <col min="12305" max="12305" width="24.5703125" style="4" customWidth="1"/>
    <col min="12306" max="12306" width="19.7109375" style="4" customWidth="1"/>
    <col min="12307" max="12307" width="29.140625" style="4" customWidth="1"/>
    <col min="12308" max="12308" width="25.140625" style="4" customWidth="1"/>
    <col min="12309" max="12310" width="29.42578125" style="4" customWidth="1"/>
    <col min="12311" max="12312" width="23.7109375" style="4" customWidth="1"/>
    <col min="12313" max="12313" width="26.7109375" style="4" customWidth="1"/>
    <col min="12314" max="12314" width="29.85546875" style="4" customWidth="1"/>
    <col min="12315" max="12317" width="23.28515625" style="4" customWidth="1"/>
    <col min="12318" max="12318" width="23.85546875" style="4" customWidth="1"/>
    <col min="12319" max="12319" width="26.7109375" style="4" customWidth="1"/>
    <col min="12320" max="12320" width="24.5703125" style="4" customWidth="1"/>
    <col min="12321" max="12321" width="26.85546875" style="4" customWidth="1"/>
    <col min="12322" max="12323" width="23.5703125" style="4" customWidth="1"/>
    <col min="12324" max="12324" width="28.7109375" style="4" customWidth="1"/>
    <col min="12325" max="12325" width="34.42578125" style="4" customWidth="1"/>
    <col min="12326" max="12326" width="29.7109375" style="4" customWidth="1"/>
    <col min="12327" max="12327" width="22" style="4" customWidth="1"/>
    <col min="12328" max="12328" width="23.7109375" style="4" customWidth="1"/>
    <col min="12329" max="12329" width="23.5703125" style="4" customWidth="1"/>
    <col min="12330" max="12333" width="22.140625" style="4" customWidth="1"/>
    <col min="12334" max="12334" width="25.28515625" style="4" customWidth="1"/>
    <col min="12335" max="12335" width="45.42578125" style="4" customWidth="1"/>
    <col min="12336" max="12336" width="24.7109375" style="4" customWidth="1"/>
    <col min="12337" max="12337" width="26.42578125" style="4" customWidth="1"/>
    <col min="12338" max="12338" width="29.28515625" style="4" customWidth="1"/>
    <col min="12339" max="12341" width="27.28515625" style="4" customWidth="1"/>
    <col min="12342" max="12342" width="31.7109375" style="4" customWidth="1"/>
    <col min="12343" max="12343" width="27.7109375" style="4" customWidth="1"/>
    <col min="12344" max="12346" width="28.28515625" style="4" customWidth="1"/>
    <col min="12347" max="12347" width="24.7109375" style="4" customWidth="1"/>
    <col min="12348" max="12348" width="24.140625" style="4" customWidth="1"/>
    <col min="12349" max="12351" width="22.28515625" style="4" customWidth="1"/>
    <col min="12352" max="12352" width="22.42578125" style="4" customWidth="1"/>
    <col min="12353" max="12353" width="23.7109375" style="4" customWidth="1"/>
    <col min="12354" max="12356" width="9.28515625" style="4" customWidth="1"/>
    <col min="12357" max="12510" width="9.28515625" style="4"/>
    <col min="12511" max="12511" width="26.28515625" style="4" customWidth="1"/>
    <col min="12512" max="12512" width="45.42578125" style="4" customWidth="1"/>
    <col min="12513" max="12513" width="14.85546875" style="4" customWidth="1"/>
    <col min="12514" max="12517" width="9.28515625" style="4" customWidth="1"/>
    <col min="12518" max="12518" width="0.140625" style="4" customWidth="1"/>
    <col min="12519" max="12519" width="29.42578125" style="4" customWidth="1"/>
    <col min="12520" max="12520" width="24.42578125" style="4" customWidth="1"/>
    <col min="12521" max="12521" width="26.7109375" style="4" customWidth="1"/>
    <col min="12522" max="12522" width="24.85546875" style="4" customWidth="1"/>
    <col min="12523" max="12523" width="21.28515625" style="4" customWidth="1"/>
    <col min="12524" max="12527" width="21.5703125" style="4" customWidth="1"/>
    <col min="12528" max="12528" width="28.28515625" style="4" customWidth="1"/>
    <col min="12529" max="12529" width="33" style="4" customWidth="1"/>
    <col min="12530" max="12530" width="22.85546875" style="4" customWidth="1"/>
    <col min="12531" max="12531" width="22" style="4" customWidth="1"/>
    <col min="12532" max="12532" width="24.7109375" style="4" customWidth="1"/>
    <col min="12533" max="12533" width="28.7109375" style="4" customWidth="1"/>
    <col min="12534" max="12534" width="23.5703125" style="4" customWidth="1"/>
    <col min="12535" max="12535" width="24.28515625" style="4" customWidth="1"/>
    <col min="12536" max="12536" width="23.5703125" style="4" customWidth="1"/>
    <col min="12537" max="12541" width="24.28515625" style="4" customWidth="1"/>
    <col min="12542" max="12542" width="22.7109375" style="4" customWidth="1"/>
    <col min="12543" max="12543" width="21.5703125" style="4" customWidth="1"/>
    <col min="12544" max="12544" width="21.42578125" style="4" customWidth="1"/>
    <col min="12545" max="12545" width="22.28515625" style="4" customWidth="1"/>
    <col min="12546" max="12546" width="22.5703125" style="4" customWidth="1"/>
    <col min="12547" max="12547" width="23.28515625" style="4" customWidth="1"/>
    <col min="12548" max="12549" width="20.5703125" style="4" customWidth="1"/>
    <col min="12550" max="12550" width="21.28515625" style="4" customWidth="1"/>
    <col min="12551" max="12551" width="21.42578125" style="4" customWidth="1"/>
    <col min="12552" max="12552" width="22" style="4" customWidth="1"/>
    <col min="12553" max="12554" width="21.5703125" style="4" customWidth="1"/>
    <col min="12555" max="12555" width="22.28515625" style="4" customWidth="1"/>
    <col min="12556" max="12556" width="25.42578125" style="4" customWidth="1"/>
    <col min="12557" max="12557" width="25.28515625" style="4" customWidth="1"/>
    <col min="12558" max="12558" width="28.7109375" style="4" customWidth="1"/>
    <col min="12559" max="12559" width="22.140625" style="4" customWidth="1"/>
    <col min="12560" max="12560" width="22" style="4" customWidth="1"/>
    <col min="12561" max="12561" width="24.5703125" style="4" customWidth="1"/>
    <col min="12562" max="12562" width="19.7109375" style="4" customWidth="1"/>
    <col min="12563" max="12563" width="29.140625" style="4" customWidth="1"/>
    <col min="12564" max="12564" width="25.140625" style="4" customWidth="1"/>
    <col min="12565" max="12566" width="29.42578125" style="4" customWidth="1"/>
    <col min="12567" max="12568" width="23.7109375" style="4" customWidth="1"/>
    <col min="12569" max="12569" width="26.7109375" style="4" customWidth="1"/>
    <col min="12570" max="12570" width="29.85546875" style="4" customWidth="1"/>
    <col min="12571" max="12573" width="23.28515625" style="4" customWidth="1"/>
    <col min="12574" max="12574" width="23.85546875" style="4" customWidth="1"/>
    <col min="12575" max="12575" width="26.7109375" style="4" customWidth="1"/>
    <col min="12576" max="12576" width="24.5703125" style="4" customWidth="1"/>
    <col min="12577" max="12577" width="26.85546875" style="4" customWidth="1"/>
    <col min="12578" max="12579" width="23.5703125" style="4" customWidth="1"/>
    <col min="12580" max="12580" width="28.7109375" style="4" customWidth="1"/>
    <col min="12581" max="12581" width="34.42578125" style="4" customWidth="1"/>
    <col min="12582" max="12582" width="29.7109375" style="4" customWidth="1"/>
    <col min="12583" max="12583" width="22" style="4" customWidth="1"/>
    <col min="12584" max="12584" width="23.7109375" style="4" customWidth="1"/>
    <col min="12585" max="12585" width="23.5703125" style="4" customWidth="1"/>
    <col min="12586" max="12589" width="22.140625" style="4" customWidth="1"/>
    <col min="12590" max="12590" width="25.28515625" style="4" customWidth="1"/>
    <col min="12591" max="12591" width="45.42578125" style="4" customWidth="1"/>
    <col min="12592" max="12592" width="24.7109375" style="4" customWidth="1"/>
    <col min="12593" max="12593" width="26.42578125" style="4" customWidth="1"/>
    <col min="12594" max="12594" width="29.28515625" style="4" customWidth="1"/>
    <col min="12595" max="12597" width="27.28515625" style="4" customWidth="1"/>
    <col min="12598" max="12598" width="31.7109375" style="4" customWidth="1"/>
    <col min="12599" max="12599" width="27.7109375" style="4" customWidth="1"/>
    <col min="12600" max="12602" width="28.28515625" style="4" customWidth="1"/>
    <col min="12603" max="12603" width="24.7109375" style="4" customWidth="1"/>
    <col min="12604" max="12604" width="24.140625" style="4" customWidth="1"/>
    <col min="12605" max="12607" width="22.28515625" style="4" customWidth="1"/>
    <col min="12608" max="12608" width="22.42578125" style="4" customWidth="1"/>
    <col min="12609" max="12609" width="23.7109375" style="4" customWidth="1"/>
    <col min="12610" max="12612" width="9.28515625" style="4" customWidth="1"/>
    <col min="12613" max="12766" width="9.28515625" style="4"/>
    <col min="12767" max="12767" width="26.28515625" style="4" customWidth="1"/>
    <col min="12768" max="12768" width="45.42578125" style="4" customWidth="1"/>
    <col min="12769" max="12769" width="14.85546875" style="4" customWidth="1"/>
    <col min="12770" max="12773" width="9.28515625" style="4" customWidth="1"/>
    <col min="12774" max="12774" width="0.140625" style="4" customWidth="1"/>
    <col min="12775" max="12775" width="29.42578125" style="4" customWidth="1"/>
    <col min="12776" max="12776" width="24.42578125" style="4" customWidth="1"/>
    <col min="12777" max="12777" width="26.7109375" style="4" customWidth="1"/>
    <col min="12778" max="12778" width="24.85546875" style="4" customWidth="1"/>
    <col min="12779" max="12779" width="21.28515625" style="4" customWidth="1"/>
    <col min="12780" max="12783" width="21.5703125" style="4" customWidth="1"/>
    <col min="12784" max="12784" width="28.28515625" style="4" customWidth="1"/>
    <col min="12785" max="12785" width="33" style="4" customWidth="1"/>
    <col min="12786" max="12786" width="22.85546875" style="4" customWidth="1"/>
    <col min="12787" max="12787" width="22" style="4" customWidth="1"/>
    <col min="12788" max="12788" width="24.7109375" style="4" customWidth="1"/>
    <col min="12789" max="12789" width="28.7109375" style="4" customWidth="1"/>
    <col min="12790" max="12790" width="23.5703125" style="4" customWidth="1"/>
    <col min="12791" max="12791" width="24.28515625" style="4" customWidth="1"/>
    <col min="12792" max="12792" width="23.5703125" style="4" customWidth="1"/>
    <col min="12793" max="12797" width="24.28515625" style="4" customWidth="1"/>
    <col min="12798" max="12798" width="22.7109375" style="4" customWidth="1"/>
    <col min="12799" max="12799" width="21.5703125" style="4" customWidth="1"/>
    <col min="12800" max="12800" width="21.42578125" style="4" customWidth="1"/>
    <col min="12801" max="12801" width="22.28515625" style="4" customWidth="1"/>
    <col min="12802" max="12802" width="22.5703125" style="4" customWidth="1"/>
    <col min="12803" max="12803" width="23.28515625" style="4" customWidth="1"/>
    <col min="12804" max="12805" width="20.5703125" style="4" customWidth="1"/>
    <col min="12806" max="12806" width="21.28515625" style="4" customWidth="1"/>
    <col min="12807" max="12807" width="21.42578125" style="4" customWidth="1"/>
    <col min="12808" max="12808" width="22" style="4" customWidth="1"/>
    <col min="12809" max="12810" width="21.5703125" style="4" customWidth="1"/>
    <col min="12811" max="12811" width="22.28515625" style="4" customWidth="1"/>
    <col min="12812" max="12812" width="25.42578125" style="4" customWidth="1"/>
    <col min="12813" max="12813" width="25.28515625" style="4" customWidth="1"/>
    <col min="12814" max="12814" width="28.7109375" style="4" customWidth="1"/>
    <col min="12815" max="12815" width="22.140625" style="4" customWidth="1"/>
    <col min="12816" max="12816" width="22" style="4" customWidth="1"/>
    <col min="12817" max="12817" width="24.5703125" style="4" customWidth="1"/>
    <col min="12818" max="12818" width="19.7109375" style="4" customWidth="1"/>
    <col min="12819" max="12819" width="29.140625" style="4" customWidth="1"/>
    <col min="12820" max="12820" width="25.140625" style="4" customWidth="1"/>
    <col min="12821" max="12822" width="29.42578125" style="4" customWidth="1"/>
    <col min="12823" max="12824" width="23.7109375" style="4" customWidth="1"/>
    <col min="12825" max="12825" width="26.7109375" style="4" customWidth="1"/>
    <col min="12826" max="12826" width="29.85546875" style="4" customWidth="1"/>
    <col min="12827" max="12829" width="23.28515625" style="4" customWidth="1"/>
    <col min="12830" max="12830" width="23.85546875" style="4" customWidth="1"/>
    <col min="12831" max="12831" width="26.7109375" style="4" customWidth="1"/>
    <col min="12832" max="12832" width="24.5703125" style="4" customWidth="1"/>
    <col min="12833" max="12833" width="26.85546875" style="4" customWidth="1"/>
    <col min="12834" max="12835" width="23.5703125" style="4" customWidth="1"/>
    <col min="12836" max="12836" width="28.7109375" style="4" customWidth="1"/>
    <col min="12837" max="12837" width="34.42578125" style="4" customWidth="1"/>
    <col min="12838" max="12838" width="29.7109375" style="4" customWidth="1"/>
    <col min="12839" max="12839" width="22" style="4" customWidth="1"/>
    <col min="12840" max="12840" width="23.7109375" style="4" customWidth="1"/>
    <col min="12841" max="12841" width="23.5703125" style="4" customWidth="1"/>
    <col min="12842" max="12845" width="22.140625" style="4" customWidth="1"/>
    <col min="12846" max="12846" width="25.28515625" style="4" customWidth="1"/>
    <col min="12847" max="12847" width="45.42578125" style="4" customWidth="1"/>
    <col min="12848" max="12848" width="24.7109375" style="4" customWidth="1"/>
    <col min="12849" max="12849" width="26.42578125" style="4" customWidth="1"/>
    <col min="12850" max="12850" width="29.28515625" style="4" customWidth="1"/>
    <col min="12851" max="12853" width="27.28515625" style="4" customWidth="1"/>
    <col min="12854" max="12854" width="31.7109375" style="4" customWidth="1"/>
    <col min="12855" max="12855" width="27.7109375" style="4" customWidth="1"/>
    <col min="12856" max="12858" width="28.28515625" style="4" customWidth="1"/>
    <col min="12859" max="12859" width="24.7109375" style="4" customWidth="1"/>
    <col min="12860" max="12860" width="24.140625" style="4" customWidth="1"/>
    <col min="12861" max="12863" width="22.28515625" style="4" customWidth="1"/>
    <col min="12864" max="12864" width="22.42578125" style="4" customWidth="1"/>
    <col min="12865" max="12865" width="23.7109375" style="4" customWidth="1"/>
    <col min="12866" max="12868" width="9.28515625" style="4" customWidth="1"/>
    <col min="12869" max="13022" width="9.28515625" style="4"/>
    <col min="13023" max="13023" width="26.28515625" style="4" customWidth="1"/>
    <col min="13024" max="13024" width="45.42578125" style="4" customWidth="1"/>
    <col min="13025" max="13025" width="14.85546875" style="4" customWidth="1"/>
    <col min="13026" max="13029" width="9.28515625" style="4" customWidth="1"/>
    <col min="13030" max="13030" width="0.140625" style="4" customWidth="1"/>
    <col min="13031" max="13031" width="29.42578125" style="4" customWidth="1"/>
    <col min="13032" max="13032" width="24.42578125" style="4" customWidth="1"/>
    <col min="13033" max="13033" width="26.7109375" style="4" customWidth="1"/>
    <col min="13034" max="13034" width="24.85546875" style="4" customWidth="1"/>
    <col min="13035" max="13035" width="21.28515625" style="4" customWidth="1"/>
    <col min="13036" max="13039" width="21.5703125" style="4" customWidth="1"/>
    <col min="13040" max="13040" width="28.28515625" style="4" customWidth="1"/>
    <col min="13041" max="13041" width="33" style="4" customWidth="1"/>
    <col min="13042" max="13042" width="22.85546875" style="4" customWidth="1"/>
    <col min="13043" max="13043" width="22" style="4" customWidth="1"/>
    <col min="13044" max="13044" width="24.7109375" style="4" customWidth="1"/>
    <col min="13045" max="13045" width="28.7109375" style="4" customWidth="1"/>
    <col min="13046" max="13046" width="23.5703125" style="4" customWidth="1"/>
    <col min="13047" max="13047" width="24.28515625" style="4" customWidth="1"/>
    <col min="13048" max="13048" width="23.5703125" style="4" customWidth="1"/>
    <col min="13049" max="13053" width="24.28515625" style="4" customWidth="1"/>
    <col min="13054" max="13054" width="22.7109375" style="4" customWidth="1"/>
    <col min="13055" max="13055" width="21.5703125" style="4" customWidth="1"/>
    <col min="13056" max="13056" width="21.42578125" style="4" customWidth="1"/>
    <col min="13057" max="13057" width="22.28515625" style="4" customWidth="1"/>
    <col min="13058" max="13058" width="22.5703125" style="4" customWidth="1"/>
    <col min="13059" max="13059" width="23.28515625" style="4" customWidth="1"/>
    <col min="13060" max="13061" width="20.5703125" style="4" customWidth="1"/>
    <col min="13062" max="13062" width="21.28515625" style="4" customWidth="1"/>
    <col min="13063" max="13063" width="21.42578125" style="4" customWidth="1"/>
    <col min="13064" max="13064" width="22" style="4" customWidth="1"/>
    <col min="13065" max="13066" width="21.5703125" style="4" customWidth="1"/>
    <col min="13067" max="13067" width="22.28515625" style="4" customWidth="1"/>
    <col min="13068" max="13068" width="25.42578125" style="4" customWidth="1"/>
    <col min="13069" max="13069" width="25.28515625" style="4" customWidth="1"/>
    <col min="13070" max="13070" width="28.7109375" style="4" customWidth="1"/>
    <col min="13071" max="13071" width="22.140625" style="4" customWidth="1"/>
    <col min="13072" max="13072" width="22" style="4" customWidth="1"/>
    <col min="13073" max="13073" width="24.5703125" style="4" customWidth="1"/>
    <col min="13074" max="13074" width="19.7109375" style="4" customWidth="1"/>
    <col min="13075" max="13075" width="29.140625" style="4" customWidth="1"/>
    <col min="13076" max="13076" width="25.140625" style="4" customWidth="1"/>
    <col min="13077" max="13078" width="29.42578125" style="4" customWidth="1"/>
    <col min="13079" max="13080" width="23.7109375" style="4" customWidth="1"/>
    <col min="13081" max="13081" width="26.7109375" style="4" customWidth="1"/>
    <col min="13082" max="13082" width="29.85546875" style="4" customWidth="1"/>
    <col min="13083" max="13085" width="23.28515625" style="4" customWidth="1"/>
    <col min="13086" max="13086" width="23.85546875" style="4" customWidth="1"/>
    <col min="13087" max="13087" width="26.7109375" style="4" customWidth="1"/>
    <col min="13088" max="13088" width="24.5703125" style="4" customWidth="1"/>
    <col min="13089" max="13089" width="26.85546875" style="4" customWidth="1"/>
    <col min="13090" max="13091" width="23.5703125" style="4" customWidth="1"/>
    <col min="13092" max="13092" width="28.7109375" style="4" customWidth="1"/>
    <col min="13093" max="13093" width="34.42578125" style="4" customWidth="1"/>
    <col min="13094" max="13094" width="29.7109375" style="4" customWidth="1"/>
    <col min="13095" max="13095" width="22" style="4" customWidth="1"/>
    <col min="13096" max="13096" width="23.7109375" style="4" customWidth="1"/>
    <col min="13097" max="13097" width="23.5703125" style="4" customWidth="1"/>
    <col min="13098" max="13101" width="22.140625" style="4" customWidth="1"/>
    <col min="13102" max="13102" width="25.28515625" style="4" customWidth="1"/>
    <col min="13103" max="13103" width="45.42578125" style="4" customWidth="1"/>
    <col min="13104" max="13104" width="24.7109375" style="4" customWidth="1"/>
    <col min="13105" max="13105" width="26.42578125" style="4" customWidth="1"/>
    <col min="13106" max="13106" width="29.28515625" style="4" customWidth="1"/>
    <col min="13107" max="13109" width="27.28515625" style="4" customWidth="1"/>
    <col min="13110" max="13110" width="31.7109375" style="4" customWidth="1"/>
    <col min="13111" max="13111" width="27.7109375" style="4" customWidth="1"/>
    <col min="13112" max="13114" width="28.28515625" style="4" customWidth="1"/>
    <col min="13115" max="13115" width="24.7109375" style="4" customWidth="1"/>
    <col min="13116" max="13116" width="24.140625" style="4" customWidth="1"/>
    <col min="13117" max="13119" width="22.28515625" style="4" customWidth="1"/>
    <col min="13120" max="13120" width="22.42578125" style="4" customWidth="1"/>
    <col min="13121" max="13121" width="23.7109375" style="4" customWidth="1"/>
    <col min="13122" max="13124" width="9.28515625" style="4" customWidth="1"/>
    <col min="13125" max="13278" width="9.28515625" style="4"/>
    <col min="13279" max="13279" width="26.28515625" style="4" customWidth="1"/>
    <col min="13280" max="13280" width="45.42578125" style="4" customWidth="1"/>
    <col min="13281" max="13281" width="14.85546875" style="4" customWidth="1"/>
    <col min="13282" max="13285" width="9.28515625" style="4" customWidth="1"/>
    <col min="13286" max="13286" width="0.140625" style="4" customWidth="1"/>
    <col min="13287" max="13287" width="29.42578125" style="4" customWidth="1"/>
    <col min="13288" max="13288" width="24.42578125" style="4" customWidth="1"/>
    <col min="13289" max="13289" width="26.7109375" style="4" customWidth="1"/>
    <col min="13290" max="13290" width="24.85546875" style="4" customWidth="1"/>
    <col min="13291" max="13291" width="21.28515625" style="4" customWidth="1"/>
    <col min="13292" max="13295" width="21.5703125" style="4" customWidth="1"/>
    <col min="13296" max="13296" width="28.28515625" style="4" customWidth="1"/>
    <col min="13297" max="13297" width="33" style="4" customWidth="1"/>
    <col min="13298" max="13298" width="22.85546875" style="4" customWidth="1"/>
    <col min="13299" max="13299" width="22" style="4" customWidth="1"/>
    <col min="13300" max="13300" width="24.7109375" style="4" customWidth="1"/>
    <col min="13301" max="13301" width="28.7109375" style="4" customWidth="1"/>
    <col min="13302" max="13302" width="23.5703125" style="4" customWidth="1"/>
    <col min="13303" max="13303" width="24.28515625" style="4" customWidth="1"/>
    <col min="13304" max="13304" width="23.5703125" style="4" customWidth="1"/>
    <col min="13305" max="13309" width="24.28515625" style="4" customWidth="1"/>
    <col min="13310" max="13310" width="22.7109375" style="4" customWidth="1"/>
    <col min="13311" max="13311" width="21.5703125" style="4" customWidth="1"/>
    <col min="13312" max="13312" width="21.42578125" style="4" customWidth="1"/>
    <col min="13313" max="13313" width="22.28515625" style="4" customWidth="1"/>
    <col min="13314" max="13314" width="22.5703125" style="4" customWidth="1"/>
    <col min="13315" max="13315" width="23.28515625" style="4" customWidth="1"/>
    <col min="13316" max="13317" width="20.5703125" style="4" customWidth="1"/>
    <col min="13318" max="13318" width="21.28515625" style="4" customWidth="1"/>
    <col min="13319" max="13319" width="21.42578125" style="4" customWidth="1"/>
    <col min="13320" max="13320" width="22" style="4" customWidth="1"/>
    <col min="13321" max="13322" width="21.5703125" style="4" customWidth="1"/>
    <col min="13323" max="13323" width="22.28515625" style="4" customWidth="1"/>
    <col min="13324" max="13324" width="25.42578125" style="4" customWidth="1"/>
    <col min="13325" max="13325" width="25.28515625" style="4" customWidth="1"/>
    <col min="13326" max="13326" width="28.7109375" style="4" customWidth="1"/>
    <col min="13327" max="13327" width="22.140625" style="4" customWidth="1"/>
    <col min="13328" max="13328" width="22" style="4" customWidth="1"/>
    <col min="13329" max="13329" width="24.5703125" style="4" customWidth="1"/>
    <col min="13330" max="13330" width="19.7109375" style="4" customWidth="1"/>
    <col min="13331" max="13331" width="29.140625" style="4" customWidth="1"/>
    <col min="13332" max="13332" width="25.140625" style="4" customWidth="1"/>
    <col min="13333" max="13334" width="29.42578125" style="4" customWidth="1"/>
    <col min="13335" max="13336" width="23.7109375" style="4" customWidth="1"/>
    <col min="13337" max="13337" width="26.7109375" style="4" customWidth="1"/>
    <col min="13338" max="13338" width="29.85546875" style="4" customWidth="1"/>
    <col min="13339" max="13341" width="23.28515625" style="4" customWidth="1"/>
    <col min="13342" max="13342" width="23.85546875" style="4" customWidth="1"/>
    <col min="13343" max="13343" width="26.7109375" style="4" customWidth="1"/>
    <col min="13344" max="13344" width="24.5703125" style="4" customWidth="1"/>
    <col min="13345" max="13345" width="26.85546875" style="4" customWidth="1"/>
    <col min="13346" max="13347" width="23.5703125" style="4" customWidth="1"/>
    <col min="13348" max="13348" width="28.7109375" style="4" customWidth="1"/>
    <col min="13349" max="13349" width="34.42578125" style="4" customWidth="1"/>
    <col min="13350" max="13350" width="29.7109375" style="4" customWidth="1"/>
    <col min="13351" max="13351" width="22" style="4" customWidth="1"/>
    <col min="13352" max="13352" width="23.7109375" style="4" customWidth="1"/>
    <col min="13353" max="13353" width="23.5703125" style="4" customWidth="1"/>
    <col min="13354" max="13357" width="22.140625" style="4" customWidth="1"/>
    <col min="13358" max="13358" width="25.28515625" style="4" customWidth="1"/>
    <col min="13359" max="13359" width="45.42578125" style="4" customWidth="1"/>
    <col min="13360" max="13360" width="24.7109375" style="4" customWidth="1"/>
    <col min="13361" max="13361" width="26.42578125" style="4" customWidth="1"/>
    <col min="13362" max="13362" width="29.28515625" style="4" customWidth="1"/>
    <col min="13363" max="13365" width="27.28515625" style="4" customWidth="1"/>
    <col min="13366" max="13366" width="31.7109375" style="4" customWidth="1"/>
    <col min="13367" max="13367" width="27.7109375" style="4" customWidth="1"/>
    <col min="13368" max="13370" width="28.28515625" style="4" customWidth="1"/>
    <col min="13371" max="13371" width="24.7109375" style="4" customWidth="1"/>
    <col min="13372" max="13372" width="24.140625" style="4" customWidth="1"/>
    <col min="13373" max="13375" width="22.28515625" style="4" customWidth="1"/>
    <col min="13376" max="13376" width="22.42578125" style="4" customWidth="1"/>
    <col min="13377" max="13377" width="23.7109375" style="4" customWidth="1"/>
    <col min="13378" max="13380" width="9.28515625" style="4" customWidth="1"/>
    <col min="13381" max="13534" width="9.28515625" style="4"/>
    <col min="13535" max="13535" width="26.28515625" style="4" customWidth="1"/>
    <col min="13536" max="13536" width="45.42578125" style="4" customWidth="1"/>
    <col min="13537" max="13537" width="14.85546875" style="4" customWidth="1"/>
    <col min="13538" max="13541" width="9.28515625" style="4" customWidth="1"/>
    <col min="13542" max="13542" width="0.140625" style="4" customWidth="1"/>
    <col min="13543" max="13543" width="29.42578125" style="4" customWidth="1"/>
    <col min="13544" max="13544" width="24.42578125" style="4" customWidth="1"/>
    <col min="13545" max="13545" width="26.7109375" style="4" customWidth="1"/>
    <col min="13546" max="13546" width="24.85546875" style="4" customWidth="1"/>
    <col min="13547" max="13547" width="21.28515625" style="4" customWidth="1"/>
    <col min="13548" max="13551" width="21.5703125" style="4" customWidth="1"/>
    <col min="13552" max="13552" width="28.28515625" style="4" customWidth="1"/>
    <col min="13553" max="13553" width="33" style="4" customWidth="1"/>
    <col min="13554" max="13554" width="22.85546875" style="4" customWidth="1"/>
    <col min="13555" max="13555" width="22" style="4" customWidth="1"/>
    <col min="13556" max="13556" width="24.7109375" style="4" customWidth="1"/>
    <col min="13557" max="13557" width="28.7109375" style="4" customWidth="1"/>
    <col min="13558" max="13558" width="23.5703125" style="4" customWidth="1"/>
    <col min="13559" max="13559" width="24.28515625" style="4" customWidth="1"/>
    <col min="13560" max="13560" width="23.5703125" style="4" customWidth="1"/>
    <col min="13561" max="13565" width="24.28515625" style="4" customWidth="1"/>
    <col min="13566" max="13566" width="22.7109375" style="4" customWidth="1"/>
    <col min="13567" max="13567" width="21.5703125" style="4" customWidth="1"/>
    <col min="13568" max="13568" width="21.42578125" style="4" customWidth="1"/>
    <col min="13569" max="13569" width="22.28515625" style="4" customWidth="1"/>
    <col min="13570" max="13570" width="22.5703125" style="4" customWidth="1"/>
    <col min="13571" max="13571" width="23.28515625" style="4" customWidth="1"/>
    <col min="13572" max="13573" width="20.5703125" style="4" customWidth="1"/>
    <col min="13574" max="13574" width="21.28515625" style="4" customWidth="1"/>
    <col min="13575" max="13575" width="21.42578125" style="4" customWidth="1"/>
    <col min="13576" max="13576" width="22" style="4" customWidth="1"/>
    <col min="13577" max="13578" width="21.5703125" style="4" customWidth="1"/>
    <col min="13579" max="13579" width="22.28515625" style="4" customWidth="1"/>
    <col min="13580" max="13580" width="25.42578125" style="4" customWidth="1"/>
    <col min="13581" max="13581" width="25.28515625" style="4" customWidth="1"/>
    <col min="13582" max="13582" width="28.7109375" style="4" customWidth="1"/>
    <col min="13583" max="13583" width="22.140625" style="4" customWidth="1"/>
    <col min="13584" max="13584" width="22" style="4" customWidth="1"/>
    <col min="13585" max="13585" width="24.5703125" style="4" customWidth="1"/>
    <col min="13586" max="13586" width="19.7109375" style="4" customWidth="1"/>
    <col min="13587" max="13587" width="29.140625" style="4" customWidth="1"/>
    <col min="13588" max="13588" width="25.140625" style="4" customWidth="1"/>
    <col min="13589" max="13590" width="29.42578125" style="4" customWidth="1"/>
    <col min="13591" max="13592" width="23.7109375" style="4" customWidth="1"/>
    <col min="13593" max="13593" width="26.7109375" style="4" customWidth="1"/>
    <col min="13594" max="13594" width="29.85546875" style="4" customWidth="1"/>
    <col min="13595" max="13597" width="23.28515625" style="4" customWidth="1"/>
    <col min="13598" max="13598" width="23.85546875" style="4" customWidth="1"/>
    <col min="13599" max="13599" width="26.7109375" style="4" customWidth="1"/>
    <col min="13600" max="13600" width="24.5703125" style="4" customWidth="1"/>
    <col min="13601" max="13601" width="26.85546875" style="4" customWidth="1"/>
    <col min="13602" max="13603" width="23.5703125" style="4" customWidth="1"/>
    <col min="13604" max="13604" width="28.7109375" style="4" customWidth="1"/>
    <col min="13605" max="13605" width="34.42578125" style="4" customWidth="1"/>
    <col min="13606" max="13606" width="29.7109375" style="4" customWidth="1"/>
    <col min="13607" max="13607" width="22" style="4" customWidth="1"/>
    <col min="13608" max="13608" width="23.7109375" style="4" customWidth="1"/>
    <col min="13609" max="13609" width="23.5703125" style="4" customWidth="1"/>
    <col min="13610" max="13613" width="22.140625" style="4" customWidth="1"/>
    <col min="13614" max="13614" width="25.28515625" style="4" customWidth="1"/>
    <col min="13615" max="13615" width="45.42578125" style="4" customWidth="1"/>
    <col min="13616" max="13616" width="24.7109375" style="4" customWidth="1"/>
    <col min="13617" max="13617" width="26.42578125" style="4" customWidth="1"/>
    <col min="13618" max="13618" width="29.28515625" style="4" customWidth="1"/>
    <col min="13619" max="13621" width="27.28515625" style="4" customWidth="1"/>
    <col min="13622" max="13622" width="31.7109375" style="4" customWidth="1"/>
    <col min="13623" max="13623" width="27.7109375" style="4" customWidth="1"/>
    <col min="13624" max="13626" width="28.28515625" style="4" customWidth="1"/>
    <col min="13627" max="13627" width="24.7109375" style="4" customWidth="1"/>
    <col min="13628" max="13628" width="24.140625" style="4" customWidth="1"/>
    <col min="13629" max="13631" width="22.28515625" style="4" customWidth="1"/>
    <col min="13632" max="13632" width="22.42578125" style="4" customWidth="1"/>
    <col min="13633" max="13633" width="23.7109375" style="4" customWidth="1"/>
    <col min="13634" max="13636" width="9.28515625" style="4" customWidth="1"/>
    <col min="13637" max="13790" width="9.28515625" style="4"/>
    <col min="13791" max="13791" width="26.28515625" style="4" customWidth="1"/>
    <col min="13792" max="13792" width="45.42578125" style="4" customWidth="1"/>
    <col min="13793" max="13793" width="14.85546875" style="4" customWidth="1"/>
    <col min="13794" max="13797" width="9.28515625" style="4" customWidth="1"/>
    <col min="13798" max="13798" width="0.140625" style="4" customWidth="1"/>
    <col min="13799" max="13799" width="29.42578125" style="4" customWidth="1"/>
    <col min="13800" max="13800" width="24.42578125" style="4" customWidth="1"/>
    <col min="13801" max="13801" width="26.7109375" style="4" customWidth="1"/>
    <col min="13802" max="13802" width="24.85546875" style="4" customWidth="1"/>
    <col min="13803" max="13803" width="21.28515625" style="4" customWidth="1"/>
    <col min="13804" max="13807" width="21.5703125" style="4" customWidth="1"/>
    <col min="13808" max="13808" width="28.28515625" style="4" customWidth="1"/>
    <col min="13809" max="13809" width="33" style="4" customWidth="1"/>
    <col min="13810" max="13810" width="22.85546875" style="4" customWidth="1"/>
    <col min="13811" max="13811" width="22" style="4" customWidth="1"/>
    <col min="13812" max="13812" width="24.7109375" style="4" customWidth="1"/>
    <col min="13813" max="13813" width="28.7109375" style="4" customWidth="1"/>
    <col min="13814" max="13814" width="23.5703125" style="4" customWidth="1"/>
    <col min="13815" max="13815" width="24.28515625" style="4" customWidth="1"/>
    <col min="13816" max="13816" width="23.5703125" style="4" customWidth="1"/>
    <col min="13817" max="13821" width="24.28515625" style="4" customWidth="1"/>
    <col min="13822" max="13822" width="22.7109375" style="4" customWidth="1"/>
    <col min="13823" max="13823" width="21.5703125" style="4" customWidth="1"/>
    <col min="13824" max="13824" width="21.42578125" style="4" customWidth="1"/>
    <col min="13825" max="13825" width="22.28515625" style="4" customWidth="1"/>
    <col min="13826" max="13826" width="22.5703125" style="4" customWidth="1"/>
    <col min="13827" max="13827" width="23.28515625" style="4" customWidth="1"/>
    <col min="13828" max="13829" width="20.5703125" style="4" customWidth="1"/>
    <col min="13830" max="13830" width="21.28515625" style="4" customWidth="1"/>
    <col min="13831" max="13831" width="21.42578125" style="4" customWidth="1"/>
    <col min="13832" max="13832" width="22" style="4" customWidth="1"/>
    <col min="13833" max="13834" width="21.5703125" style="4" customWidth="1"/>
    <col min="13835" max="13835" width="22.28515625" style="4" customWidth="1"/>
    <col min="13836" max="13836" width="25.42578125" style="4" customWidth="1"/>
    <col min="13837" max="13837" width="25.28515625" style="4" customWidth="1"/>
    <col min="13838" max="13838" width="28.7109375" style="4" customWidth="1"/>
    <col min="13839" max="13839" width="22.140625" style="4" customWidth="1"/>
    <col min="13840" max="13840" width="22" style="4" customWidth="1"/>
    <col min="13841" max="13841" width="24.5703125" style="4" customWidth="1"/>
    <col min="13842" max="13842" width="19.7109375" style="4" customWidth="1"/>
    <col min="13843" max="13843" width="29.140625" style="4" customWidth="1"/>
    <col min="13844" max="13844" width="25.140625" style="4" customWidth="1"/>
    <col min="13845" max="13846" width="29.42578125" style="4" customWidth="1"/>
    <col min="13847" max="13848" width="23.7109375" style="4" customWidth="1"/>
    <col min="13849" max="13849" width="26.7109375" style="4" customWidth="1"/>
    <col min="13850" max="13850" width="29.85546875" style="4" customWidth="1"/>
    <col min="13851" max="13853" width="23.28515625" style="4" customWidth="1"/>
    <col min="13854" max="13854" width="23.85546875" style="4" customWidth="1"/>
    <col min="13855" max="13855" width="26.7109375" style="4" customWidth="1"/>
    <col min="13856" max="13856" width="24.5703125" style="4" customWidth="1"/>
    <col min="13857" max="13857" width="26.85546875" style="4" customWidth="1"/>
    <col min="13858" max="13859" width="23.5703125" style="4" customWidth="1"/>
    <col min="13860" max="13860" width="28.7109375" style="4" customWidth="1"/>
    <col min="13861" max="13861" width="34.42578125" style="4" customWidth="1"/>
    <col min="13862" max="13862" width="29.7109375" style="4" customWidth="1"/>
    <col min="13863" max="13863" width="22" style="4" customWidth="1"/>
    <col min="13864" max="13864" width="23.7109375" style="4" customWidth="1"/>
    <col min="13865" max="13865" width="23.5703125" style="4" customWidth="1"/>
    <col min="13866" max="13869" width="22.140625" style="4" customWidth="1"/>
    <col min="13870" max="13870" width="25.28515625" style="4" customWidth="1"/>
    <col min="13871" max="13871" width="45.42578125" style="4" customWidth="1"/>
    <col min="13872" max="13872" width="24.7109375" style="4" customWidth="1"/>
    <col min="13873" max="13873" width="26.42578125" style="4" customWidth="1"/>
    <col min="13874" max="13874" width="29.28515625" style="4" customWidth="1"/>
    <col min="13875" max="13877" width="27.28515625" style="4" customWidth="1"/>
    <col min="13878" max="13878" width="31.7109375" style="4" customWidth="1"/>
    <col min="13879" max="13879" width="27.7109375" style="4" customWidth="1"/>
    <col min="13880" max="13882" width="28.28515625" style="4" customWidth="1"/>
    <col min="13883" max="13883" width="24.7109375" style="4" customWidth="1"/>
    <col min="13884" max="13884" width="24.140625" style="4" customWidth="1"/>
    <col min="13885" max="13887" width="22.28515625" style="4" customWidth="1"/>
    <col min="13888" max="13888" width="22.42578125" style="4" customWidth="1"/>
    <col min="13889" max="13889" width="23.7109375" style="4" customWidth="1"/>
    <col min="13890" max="13892" width="9.28515625" style="4" customWidth="1"/>
    <col min="13893" max="14046" width="9.28515625" style="4"/>
    <col min="14047" max="14047" width="26.28515625" style="4" customWidth="1"/>
    <col min="14048" max="14048" width="45.42578125" style="4" customWidth="1"/>
    <col min="14049" max="14049" width="14.85546875" style="4" customWidth="1"/>
    <col min="14050" max="14053" width="9.28515625" style="4" customWidth="1"/>
    <col min="14054" max="14054" width="0.140625" style="4" customWidth="1"/>
    <col min="14055" max="14055" width="29.42578125" style="4" customWidth="1"/>
    <col min="14056" max="14056" width="24.42578125" style="4" customWidth="1"/>
    <col min="14057" max="14057" width="26.7109375" style="4" customWidth="1"/>
    <col min="14058" max="14058" width="24.85546875" style="4" customWidth="1"/>
    <col min="14059" max="14059" width="21.28515625" style="4" customWidth="1"/>
    <col min="14060" max="14063" width="21.5703125" style="4" customWidth="1"/>
    <col min="14064" max="14064" width="28.28515625" style="4" customWidth="1"/>
    <col min="14065" max="14065" width="33" style="4" customWidth="1"/>
    <col min="14066" max="14066" width="22.85546875" style="4" customWidth="1"/>
    <col min="14067" max="14067" width="22" style="4" customWidth="1"/>
    <col min="14068" max="14068" width="24.7109375" style="4" customWidth="1"/>
    <col min="14069" max="14069" width="28.7109375" style="4" customWidth="1"/>
    <col min="14070" max="14070" width="23.5703125" style="4" customWidth="1"/>
    <col min="14071" max="14071" width="24.28515625" style="4" customWidth="1"/>
    <col min="14072" max="14072" width="23.5703125" style="4" customWidth="1"/>
    <col min="14073" max="14077" width="24.28515625" style="4" customWidth="1"/>
    <col min="14078" max="14078" width="22.7109375" style="4" customWidth="1"/>
    <col min="14079" max="14079" width="21.5703125" style="4" customWidth="1"/>
    <col min="14080" max="14080" width="21.42578125" style="4" customWidth="1"/>
    <col min="14081" max="14081" width="22.28515625" style="4" customWidth="1"/>
    <col min="14082" max="14082" width="22.5703125" style="4" customWidth="1"/>
    <col min="14083" max="14083" width="23.28515625" style="4" customWidth="1"/>
    <col min="14084" max="14085" width="20.5703125" style="4" customWidth="1"/>
    <col min="14086" max="14086" width="21.28515625" style="4" customWidth="1"/>
    <col min="14087" max="14087" width="21.42578125" style="4" customWidth="1"/>
    <col min="14088" max="14088" width="22" style="4" customWidth="1"/>
    <col min="14089" max="14090" width="21.5703125" style="4" customWidth="1"/>
    <col min="14091" max="14091" width="22.28515625" style="4" customWidth="1"/>
    <col min="14092" max="14092" width="25.42578125" style="4" customWidth="1"/>
    <col min="14093" max="14093" width="25.28515625" style="4" customWidth="1"/>
    <col min="14094" max="14094" width="28.7109375" style="4" customWidth="1"/>
    <col min="14095" max="14095" width="22.140625" style="4" customWidth="1"/>
    <col min="14096" max="14096" width="22" style="4" customWidth="1"/>
    <col min="14097" max="14097" width="24.5703125" style="4" customWidth="1"/>
    <col min="14098" max="14098" width="19.7109375" style="4" customWidth="1"/>
    <col min="14099" max="14099" width="29.140625" style="4" customWidth="1"/>
    <col min="14100" max="14100" width="25.140625" style="4" customWidth="1"/>
    <col min="14101" max="14102" width="29.42578125" style="4" customWidth="1"/>
    <col min="14103" max="14104" width="23.7109375" style="4" customWidth="1"/>
    <col min="14105" max="14105" width="26.7109375" style="4" customWidth="1"/>
    <col min="14106" max="14106" width="29.85546875" style="4" customWidth="1"/>
    <col min="14107" max="14109" width="23.28515625" style="4" customWidth="1"/>
    <col min="14110" max="14110" width="23.85546875" style="4" customWidth="1"/>
    <col min="14111" max="14111" width="26.7109375" style="4" customWidth="1"/>
    <col min="14112" max="14112" width="24.5703125" style="4" customWidth="1"/>
    <col min="14113" max="14113" width="26.85546875" style="4" customWidth="1"/>
    <col min="14114" max="14115" width="23.5703125" style="4" customWidth="1"/>
    <col min="14116" max="14116" width="28.7109375" style="4" customWidth="1"/>
    <col min="14117" max="14117" width="34.42578125" style="4" customWidth="1"/>
    <col min="14118" max="14118" width="29.7109375" style="4" customWidth="1"/>
    <col min="14119" max="14119" width="22" style="4" customWidth="1"/>
    <col min="14120" max="14120" width="23.7109375" style="4" customWidth="1"/>
    <col min="14121" max="14121" width="23.5703125" style="4" customWidth="1"/>
    <col min="14122" max="14125" width="22.140625" style="4" customWidth="1"/>
    <col min="14126" max="14126" width="25.28515625" style="4" customWidth="1"/>
    <col min="14127" max="14127" width="45.42578125" style="4" customWidth="1"/>
    <col min="14128" max="14128" width="24.7109375" style="4" customWidth="1"/>
    <col min="14129" max="14129" width="26.42578125" style="4" customWidth="1"/>
    <col min="14130" max="14130" width="29.28515625" style="4" customWidth="1"/>
    <col min="14131" max="14133" width="27.28515625" style="4" customWidth="1"/>
    <col min="14134" max="14134" width="31.7109375" style="4" customWidth="1"/>
    <col min="14135" max="14135" width="27.7109375" style="4" customWidth="1"/>
    <col min="14136" max="14138" width="28.28515625" style="4" customWidth="1"/>
    <col min="14139" max="14139" width="24.7109375" style="4" customWidth="1"/>
    <col min="14140" max="14140" width="24.140625" style="4" customWidth="1"/>
    <col min="14141" max="14143" width="22.28515625" style="4" customWidth="1"/>
    <col min="14144" max="14144" width="22.42578125" style="4" customWidth="1"/>
    <col min="14145" max="14145" width="23.7109375" style="4" customWidth="1"/>
    <col min="14146" max="14148" width="9.28515625" style="4" customWidth="1"/>
    <col min="14149" max="14302" width="9.28515625" style="4"/>
    <col min="14303" max="14303" width="26.28515625" style="4" customWidth="1"/>
    <col min="14304" max="14304" width="45.42578125" style="4" customWidth="1"/>
    <col min="14305" max="14305" width="14.85546875" style="4" customWidth="1"/>
    <col min="14306" max="14309" width="9.28515625" style="4" customWidth="1"/>
    <col min="14310" max="14310" width="0.140625" style="4" customWidth="1"/>
    <col min="14311" max="14311" width="29.42578125" style="4" customWidth="1"/>
    <col min="14312" max="14312" width="24.42578125" style="4" customWidth="1"/>
    <col min="14313" max="14313" width="26.7109375" style="4" customWidth="1"/>
    <col min="14314" max="14314" width="24.85546875" style="4" customWidth="1"/>
    <col min="14315" max="14315" width="21.28515625" style="4" customWidth="1"/>
    <col min="14316" max="14319" width="21.5703125" style="4" customWidth="1"/>
    <col min="14320" max="14320" width="28.28515625" style="4" customWidth="1"/>
    <col min="14321" max="14321" width="33" style="4" customWidth="1"/>
    <col min="14322" max="14322" width="22.85546875" style="4" customWidth="1"/>
    <col min="14323" max="14323" width="22" style="4" customWidth="1"/>
    <col min="14324" max="14324" width="24.7109375" style="4" customWidth="1"/>
    <col min="14325" max="14325" width="28.7109375" style="4" customWidth="1"/>
    <col min="14326" max="14326" width="23.5703125" style="4" customWidth="1"/>
    <col min="14327" max="14327" width="24.28515625" style="4" customWidth="1"/>
    <col min="14328" max="14328" width="23.5703125" style="4" customWidth="1"/>
    <col min="14329" max="14333" width="24.28515625" style="4" customWidth="1"/>
    <col min="14334" max="14334" width="22.7109375" style="4" customWidth="1"/>
    <col min="14335" max="14335" width="21.5703125" style="4" customWidth="1"/>
    <col min="14336" max="14336" width="21.42578125" style="4" customWidth="1"/>
    <col min="14337" max="14337" width="22.28515625" style="4" customWidth="1"/>
    <col min="14338" max="14338" width="22.5703125" style="4" customWidth="1"/>
    <col min="14339" max="14339" width="23.28515625" style="4" customWidth="1"/>
    <col min="14340" max="14341" width="20.5703125" style="4" customWidth="1"/>
    <col min="14342" max="14342" width="21.28515625" style="4" customWidth="1"/>
    <col min="14343" max="14343" width="21.42578125" style="4" customWidth="1"/>
    <col min="14344" max="14344" width="22" style="4" customWidth="1"/>
    <col min="14345" max="14346" width="21.5703125" style="4" customWidth="1"/>
    <col min="14347" max="14347" width="22.28515625" style="4" customWidth="1"/>
    <col min="14348" max="14348" width="25.42578125" style="4" customWidth="1"/>
    <col min="14349" max="14349" width="25.28515625" style="4" customWidth="1"/>
    <col min="14350" max="14350" width="28.7109375" style="4" customWidth="1"/>
    <col min="14351" max="14351" width="22.140625" style="4" customWidth="1"/>
    <col min="14352" max="14352" width="22" style="4" customWidth="1"/>
    <col min="14353" max="14353" width="24.5703125" style="4" customWidth="1"/>
    <col min="14354" max="14354" width="19.7109375" style="4" customWidth="1"/>
    <col min="14355" max="14355" width="29.140625" style="4" customWidth="1"/>
    <col min="14356" max="14356" width="25.140625" style="4" customWidth="1"/>
    <col min="14357" max="14358" width="29.42578125" style="4" customWidth="1"/>
    <col min="14359" max="14360" width="23.7109375" style="4" customWidth="1"/>
    <col min="14361" max="14361" width="26.7109375" style="4" customWidth="1"/>
    <col min="14362" max="14362" width="29.85546875" style="4" customWidth="1"/>
    <col min="14363" max="14365" width="23.28515625" style="4" customWidth="1"/>
    <col min="14366" max="14366" width="23.85546875" style="4" customWidth="1"/>
    <col min="14367" max="14367" width="26.7109375" style="4" customWidth="1"/>
    <col min="14368" max="14368" width="24.5703125" style="4" customWidth="1"/>
    <col min="14369" max="14369" width="26.85546875" style="4" customWidth="1"/>
    <col min="14370" max="14371" width="23.5703125" style="4" customWidth="1"/>
    <col min="14372" max="14372" width="28.7109375" style="4" customWidth="1"/>
    <col min="14373" max="14373" width="34.42578125" style="4" customWidth="1"/>
    <col min="14374" max="14374" width="29.7109375" style="4" customWidth="1"/>
    <col min="14375" max="14375" width="22" style="4" customWidth="1"/>
    <col min="14376" max="14376" width="23.7109375" style="4" customWidth="1"/>
    <col min="14377" max="14377" width="23.5703125" style="4" customWidth="1"/>
    <col min="14378" max="14381" width="22.140625" style="4" customWidth="1"/>
    <col min="14382" max="14382" width="25.28515625" style="4" customWidth="1"/>
    <col min="14383" max="14383" width="45.42578125" style="4" customWidth="1"/>
    <col min="14384" max="14384" width="24.7109375" style="4" customWidth="1"/>
    <col min="14385" max="14385" width="26.42578125" style="4" customWidth="1"/>
    <col min="14386" max="14386" width="29.28515625" style="4" customWidth="1"/>
    <col min="14387" max="14389" width="27.28515625" style="4" customWidth="1"/>
    <col min="14390" max="14390" width="31.7109375" style="4" customWidth="1"/>
    <col min="14391" max="14391" width="27.7109375" style="4" customWidth="1"/>
    <col min="14392" max="14394" width="28.28515625" style="4" customWidth="1"/>
    <col min="14395" max="14395" width="24.7109375" style="4" customWidth="1"/>
    <col min="14396" max="14396" width="24.140625" style="4" customWidth="1"/>
    <col min="14397" max="14399" width="22.28515625" style="4" customWidth="1"/>
    <col min="14400" max="14400" width="22.42578125" style="4" customWidth="1"/>
    <col min="14401" max="14401" width="23.7109375" style="4" customWidth="1"/>
    <col min="14402" max="14404" width="9.28515625" style="4" customWidth="1"/>
    <col min="14405" max="14558" width="9.28515625" style="4"/>
    <col min="14559" max="14559" width="26.28515625" style="4" customWidth="1"/>
    <col min="14560" max="14560" width="45.42578125" style="4" customWidth="1"/>
    <col min="14561" max="14561" width="14.85546875" style="4" customWidth="1"/>
    <col min="14562" max="14565" width="9.28515625" style="4" customWidth="1"/>
    <col min="14566" max="14566" width="0.140625" style="4" customWidth="1"/>
    <col min="14567" max="14567" width="29.42578125" style="4" customWidth="1"/>
    <col min="14568" max="14568" width="24.42578125" style="4" customWidth="1"/>
    <col min="14569" max="14569" width="26.7109375" style="4" customWidth="1"/>
    <col min="14570" max="14570" width="24.85546875" style="4" customWidth="1"/>
    <col min="14571" max="14571" width="21.28515625" style="4" customWidth="1"/>
    <col min="14572" max="14575" width="21.5703125" style="4" customWidth="1"/>
    <col min="14576" max="14576" width="28.28515625" style="4" customWidth="1"/>
    <col min="14577" max="14577" width="33" style="4" customWidth="1"/>
    <col min="14578" max="14578" width="22.85546875" style="4" customWidth="1"/>
    <col min="14579" max="14579" width="22" style="4" customWidth="1"/>
    <col min="14580" max="14580" width="24.7109375" style="4" customWidth="1"/>
    <col min="14581" max="14581" width="28.7109375" style="4" customWidth="1"/>
    <col min="14582" max="14582" width="23.5703125" style="4" customWidth="1"/>
    <col min="14583" max="14583" width="24.28515625" style="4" customWidth="1"/>
    <col min="14584" max="14584" width="23.5703125" style="4" customWidth="1"/>
    <col min="14585" max="14589" width="24.28515625" style="4" customWidth="1"/>
    <col min="14590" max="14590" width="22.7109375" style="4" customWidth="1"/>
    <col min="14591" max="14591" width="21.5703125" style="4" customWidth="1"/>
    <col min="14592" max="14592" width="21.42578125" style="4" customWidth="1"/>
    <col min="14593" max="14593" width="22.28515625" style="4" customWidth="1"/>
    <col min="14594" max="14594" width="22.5703125" style="4" customWidth="1"/>
    <col min="14595" max="14595" width="23.28515625" style="4" customWidth="1"/>
    <col min="14596" max="14597" width="20.5703125" style="4" customWidth="1"/>
    <col min="14598" max="14598" width="21.28515625" style="4" customWidth="1"/>
    <col min="14599" max="14599" width="21.42578125" style="4" customWidth="1"/>
    <col min="14600" max="14600" width="22" style="4" customWidth="1"/>
    <col min="14601" max="14602" width="21.5703125" style="4" customWidth="1"/>
    <col min="14603" max="14603" width="22.28515625" style="4" customWidth="1"/>
    <col min="14604" max="14604" width="25.42578125" style="4" customWidth="1"/>
    <col min="14605" max="14605" width="25.28515625" style="4" customWidth="1"/>
    <col min="14606" max="14606" width="28.7109375" style="4" customWidth="1"/>
    <col min="14607" max="14607" width="22.140625" style="4" customWidth="1"/>
    <col min="14608" max="14608" width="22" style="4" customWidth="1"/>
    <col min="14609" max="14609" width="24.5703125" style="4" customWidth="1"/>
    <col min="14610" max="14610" width="19.7109375" style="4" customWidth="1"/>
    <col min="14611" max="14611" width="29.140625" style="4" customWidth="1"/>
    <col min="14612" max="14612" width="25.140625" style="4" customWidth="1"/>
    <col min="14613" max="14614" width="29.42578125" style="4" customWidth="1"/>
    <col min="14615" max="14616" width="23.7109375" style="4" customWidth="1"/>
    <col min="14617" max="14617" width="26.7109375" style="4" customWidth="1"/>
    <col min="14618" max="14618" width="29.85546875" style="4" customWidth="1"/>
    <col min="14619" max="14621" width="23.28515625" style="4" customWidth="1"/>
    <col min="14622" max="14622" width="23.85546875" style="4" customWidth="1"/>
    <col min="14623" max="14623" width="26.7109375" style="4" customWidth="1"/>
    <col min="14624" max="14624" width="24.5703125" style="4" customWidth="1"/>
    <col min="14625" max="14625" width="26.85546875" style="4" customWidth="1"/>
    <col min="14626" max="14627" width="23.5703125" style="4" customWidth="1"/>
    <col min="14628" max="14628" width="28.7109375" style="4" customWidth="1"/>
    <col min="14629" max="14629" width="34.42578125" style="4" customWidth="1"/>
    <col min="14630" max="14630" width="29.7109375" style="4" customWidth="1"/>
    <col min="14631" max="14631" width="22" style="4" customWidth="1"/>
    <col min="14632" max="14632" width="23.7109375" style="4" customWidth="1"/>
    <col min="14633" max="14633" width="23.5703125" style="4" customWidth="1"/>
    <col min="14634" max="14637" width="22.140625" style="4" customWidth="1"/>
    <col min="14638" max="14638" width="25.28515625" style="4" customWidth="1"/>
    <col min="14639" max="14639" width="45.42578125" style="4" customWidth="1"/>
    <col min="14640" max="14640" width="24.7109375" style="4" customWidth="1"/>
    <col min="14641" max="14641" width="26.42578125" style="4" customWidth="1"/>
    <col min="14642" max="14642" width="29.28515625" style="4" customWidth="1"/>
    <col min="14643" max="14645" width="27.28515625" style="4" customWidth="1"/>
    <col min="14646" max="14646" width="31.7109375" style="4" customWidth="1"/>
    <col min="14647" max="14647" width="27.7109375" style="4" customWidth="1"/>
    <col min="14648" max="14650" width="28.28515625" style="4" customWidth="1"/>
    <col min="14651" max="14651" width="24.7109375" style="4" customWidth="1"/>
    <col min="14652" max="14652" width="24.140625" style="4" customWidth="1"/>
    <col min="14653" max="14655" width="22.28515625" style="4" customWidth="1"/>
    <col min="14656" max="14656" width="22.42578125" style="4" customWidth="1"/>
    <col min="14657" max="14657" width="23.7109375" style="4" customWidth="1"/>
    <col min="14658" max="14660" width="9.28515625" style="4" customWidth="1"/>
    <col min="14661" max="14814" width="9.28515625" style="4"/>
    <col min="14815" max="14815" width="26.28515625" style="4" customWidth="1"/>
    <col min="14816" max="14816" width="45.42578125" style="4" customWidth="1"/>
    <col min="14817" max="14817" width="14.85546875" style="4" customWidth="1"/>
    <col min="14818" max="14821" width="9.28515625" style="4" customWidth="1"/>
    <col min="14822" max="14822" width="0.140625" style="4" customWidth="1"/>
    <col min="14823" max="14823" width="29.42578125" style="4" customWidth="1"/>
    <col min="14824" max="14824" width="24.42578125" style="4" customWidth="1"/>
    <col min="14825" max="14825" width="26.7109375" style="4" customWidth="1"/>
    <col min="14826" max="14826" width="24.85546875" style="4" customWidth="1"/>
    <col min="14827" max="14827" width="21.28515625" style="4" customWidth="1"/>
    <col min="14828" max="14831" width="21.5703125" style="4" customWidth="1"/>
    <col min="14832" max="14832" width="28.28515625" style="4" customWidth="1"/>
    <col min="14833" max="14833" width="33" style="4" customWidth="1"/>
    <col min="14834" max="14834" width="22.85546875" style="4" customWidth="1"/>
    <col min="14835" max="14835" width="22" style="4" customWidth="1"/>
    <col min="14836" max="14836" width="24.7109375" style="4" customWidth="1"/>
    <col min="14837" max="14837" width="28.7109375" style="4" customWidth="1"/>
    <col min="14838" max="14838" width="23.5703125" style="4" customWidth="1"/>
    <col min="14839" max="14839" width="24.28515625" style="4" customWidth="1"/>
    <col min="14840" max="14840" width="23.5703125" style="4" customWidth="1"/>
    <col min="14841" max="14845" width="24.28515625" style="4" customWidth="1"/>
    <col min="14846" max="14846" width="22.7109375" style="4" customWidth="1"/>
    <col min="14847" max="14847" width="21.5703125" style="4" customWidth="1"/>
    <col min="14848" max="14848" width="21.42578125" style="4" customWidth="1"/>
    <col min="14849" max="14849" width="22.28515625" style="4" customWidth="1"/>
    <col min="14850" max="14850" width="22.5703125" style="4" customWidth="1"/>
    <col min="14851" max="14851" width="23.28515625" style="4" customWidth="1"/>
    <col min="14852" max="14853" width="20.5703125" style="4" customWidth="1"/>
    <col min="14854" max="14854" width="21.28515625" style="4" customWidth="1"/>
    <col min="14855" max="14855" width="21.42578125" style="4" customWidth="1"/>
    <col min="14856" max="14856" width="22" style="4" customWidth="1"/>
    <col min="14857" max="14858" width="21.5703125" style="4" customWidth="1"/>
    <col min="14859" max="14859" width="22.28515625" style="4" customWidth="1"/>
    <col min="14860" max="14860" width="25.42578125" style="4" customWidth="1"/>
    <col min="14861" max="14861" width="25.28515625" style="4" customWidth="1"/>
    <col min="14862" max="14862" width="28.7109375" style="4" customWidth="1"/>
    <col min="14863" max="14863" width="22.140625" style="4" customWidth="1"/>
    <col min="14864" max="14864" width="22" style="4" customWidth="1"/>
    <col min="14865" max="14865" width="24.5703125" style="4" customWidth="1"/>
    <col min="14866" max="14866" width="19.7109375" style="4" customWidth="1"/>
    <col min="14867" max="14867" width="29.140625" style="4" customWidth="1"/>
    <col min="14868" max="14868" width="25.140625" style="4" customWidth="1"/>
    <col min="14869" max="14870" width="29.42578125" style="4" customWidth="1"/>
    <col min="14871" max="14872" width="23.7109375" style="4" customWidth="1"/>
    <col min="14873" max="14873" width="26.7109375" style="4" customWidth="1"/>
    <col min="14874" max="14874" width="29.85546875" style="4" customWidth="1"/>
    <col min="14875" max="14877" width="23.28515625" style="4" customWidth="1"/>
    <col min="14878" max="14878" width="23.85546875" style="4" customWidth="1"/>
    <col min="14879" max="14879" width="26.7109375" style="4" customWidth="1"/>
    <col min="14880" max="14880" width="24.5703125" style="4" customWidth="1"/>
    <col min="14881" max="14881" width="26.85546875" style="4" customWidth="1"/>
    <col min="14882" max="14883" width="23.5703125" style="4" customWidth="1"/>
    <col min="14884" max="14884" width="28.7109375" style="4" customWidth="1"/>
    <col min="14885" max="14885" width="34.42578125" style="4" customWidth="1"/>
    <col min="14886" max="14886" width="29.7109375" style="4" customWidth="1"/>
    <col min="14887" max="14887" width="22" style="4" customWidth="1"/>
    <col min="14888" max="14888" width="23.7109375" style="4" customWidth="1"/>
    <col min="14889" max="14889" width="23.5703125" style="4" customWidth="1"/>
    <col min="14890" max="14893" width="22.140625" style="4" customWidth="1"/>
    <col min="14894" max="14894" width="25.28515625" style="4" customWidth="1"/>
    <col min="14895" max="14895" width="45.42578125" style="4" customWidth="1"/>
    <col min="14896" max="14896" width="24.7109375" style="4" customWidth="1"/>
    <col min="14897" max="14897" width="26.42578125" style="4" customWidth="1"/>
    <col min="14898" max="14898" width="29.28515625" style="4" customWidth="1"/>
    <col min="14899" max="14901" width="27.28515625" style="4" customWidth="1"/>
    <col min="14902" max="14902" width="31.7109375" style="4" customWidth="1"/>
    <col min="14903" max="14903" width="27.7109375" style="4" customWidth="1"/>
    <col min="14904" max="14906" width="28.28515625" style="4" customWidth="1"/>
    <col min="14907" max="14907" width="24.7109375" style="4" customWidth="1"/>
    <col min="14908" max="14908" width="24.140625" style="4" customWidth="1"/>
    <col min="14909" max="14911" width="22.28515625" style="4" customWidth="1"/>
    <col min="14912" max="14912" width="22.42578125" style="4" customWidth="1"/>
    <col min="14913" max="14913" width="23.7109375" style="4" customWidth="1"/>
    <col min="14914" max="14916" width="9.28515625" style="4" customWidth="1"/>
    <col min="14917" max="15070" width="9.28515625" style="4"/>
    <col min="15071" max="15071" width="26.28515625" style="4" customWidth="1"/>
    <col min="15072" max="15072" width="45.42578125" style="4" customWidth="1"/>
    <col min="15073" max="15073" width="14.85546875" style="4" customWidth="1"/>
    <col min="15074" max="15077" width="9.28515625" style="4" customWidth="1"/>
    <col min="15078" max="15078" width="0.140625" style="4" customWidth="1"/>
    <col min="15079" max="15079" width="29.42578125" style="4" customWidth="1"/>
    <col min="15080" max="15080" width="24.42578125" style="4" customWidth="1"/>
    <col min="15081" max="15081" width="26.7109375" style="4" customWidth="1"/>
    <col min="15082" max="15082" width="24.85546875" style="4" customWidth="1"/>
    <col min="15083" max="15083" width="21.28515625" style="4" customWidth="1"/>
    <col min="15084" max="15087" width="21.5703125" style="4" customWidth="1"/>
    <col min="15088" max="15088" width="28.28515625" style="4" customWidth="1"/>
    <col min="15089" max="15089" width="33" style="4" customWidth="1"/>
    <col min="15090" max="15090" width="22.85546875" style="4" customWidth="1"/>
    <col min="15091" max="15091" width="22" style="4" customWidth="1"/>
    <col min="15092" max="15092" width="24.7109375" style="4" customWidth="1"/>
    <col min="15093" max="15093" width="28.7109375" style="4" customWidth="1"/>
    <col min="15094" max="15094" width="23.5703125" style="4" customWidth="1"/>
    <col min="15095" max="15095" width="24.28515625" style="4" customWidth="1"/>
    <col min="15096" max="15096" width="23.5703125" style="4" customWidth="1"/>
    <col min="15097" max="15101" width="24.28515625" style="4" customWidth="1"/>
    <col min="15102" max="15102" width="22.7109375" style="4" customWidth="1"/>
    <col min="15103" max="15103" width="21.5703125" style="4" customWidth="1"/>
    <col min="15104" max="15104" width="21.42578125" style="4" customWidth="1"/>
    <col min="15105" max="15105" width="22.28515625" style="4" customWidth="1"/>
    <col min="15106" max="15106" width="22.5703125" style="4" customWidth="1"/>
    <col min="15107" max="15107" width="23.28515625" style="4" customWidth="1"/>
    <col min="15108" max="15109" width="20.5703125" style="4" customWidth="1"/>
    <col min="15110" max="15110" width="21.28515625" style="4" customWidth="1"/>
    <col min="15111" max="15111" width="21.42578125" style="4" customWidth="1"/>
    <col min="15112" max="15112" width="22" style="4" customWidth="1"/>
    <col min="15113" max="15114" width="21.5703125" style="4" customWidth="1"/>
    <col min="15115" max="15115" width="22.28515625" style="4" customWidth="1"/>
    <col min="15116" max="15116" width="25.42578125" style="4" customWidth="1"/>
    <col min="15117" max="15117" width="25.28515625" style="4" customWidth="1"/>
    <col min="15118" max="15118" width="28.7109375" style="4" customWidth="1"/>
    <col min="15119" max="15119" width="22.140625" style="4" customWidth="1"/>
    <col min="15120" max="15120" width="22" style="4" customWidth="1"/>
    <col min="15121" max="15121" width="24.5703125" style="4" customWidth="1"/>
    <col min="15122" max="15122" width="19.7109375" style="4" customWidth="1"/>
    <col min="15123" max="15123" width="29.140625" style="4" customWidth="1"/>
    <col min="15124" max="15124" width="25.140625" style="4" customWidth="1"/>
    <col min="15125" max="15126" width="29.42578125" style="4" customWidth="1"/>
    <col min="15127" max="15128" width="23.7109375" style="4" customWidth="1"/>
    <col min="15129" max="15129" width="26.7109375" style="4" customWidth="1"/>
    <col min="15130" max="15130" width="29.85546875" style="4" customWidth="1"/>
    <col min="15131" max="15133" width="23.28515625" style="4" customWidth="1"/>
    <col min="15134" max="15134" width="23.85546875" style="4" customWidth="1"/>
    <col min="15135" max="15135" width="26.7109375" style="4" customWidth="1"/>
    <col min="15136" max="15136" width="24.5703125" style="4" customWidth="1"/>
    <col min="15137" max="15137" width="26.85546875" style="4" customWidth="1"/>
    <col min="15138" max="15139" width="23.5703125" style="4" customWidth="1"/>
    <col min="15140" max="15140" width="28.7109375" style="4" customWidth="1"/>
    <col min="15141" max="15141" width="34.42578125" style="4" customWidth="1"/>
    <col min="15142" max="15142" width="29.7109375" style="4" customWidth="1"/>
    <col min="15143" max="15143" width="22" style="4" customWidth="1"/>
    <col min="15144" max="15144" width="23.7109375" style="4" customWidth="1"/>
    <col min="15145" max="15145" width="23.5703125" style="4" customWidth="1"/>
    <col min="15146" max="15149" width="22.140625" style="4" customWidth="1"/>
    <col min="15150" max="15150" width="25.28515625" style="4" customWidth="1"/>
    <col min="15151" max="15151" width="45.42578125" style="4" customWidth="1"/>
    <col min="15152" max="15152" width="24.7109375" style="4" customWidth="1"/>
    <col min="15153" max="15153" width="26.42578125" style="4" customWidth="1"/>
    <col min="15154" max="15154" width="29.28515625" style="4" customWidth="1"/>
    <col min="15155" max="15157" width="27.28515625" style="4" customWidth="1"/>
    <col min="15158" max="15158" width="31.7109375" style="4" customWidth="1"/>
    <col min="15159" max="15159" width="27.7109375" style="4" customWidth="1"/>
    <col min="15160" max="15162" width="28.28515625" style="4" customWidth="1"/>
    <col min="15163" max="15163" width="24.7109375" style="4" customWidth="1"/>
    <col min="15164" max="15164" width="24.140625" style="4" customWidth="1"/>
    <col min="15165" max="15167" width="22.28515625" style="4" customWidth="1"/>
    <col min="15168" max="15168" width="22.42578125" style="4" customWidth="1"/>
    <col min="15169" max="15169" width="23.7109375" style="4" customWidth="1"/>
    <col min="15170" max="15172" width="9.28515625" style="4" customWidth="1"/>
    <col min="15173" max="15326" width="9.28515625" style="4"/>
    <col min="15327" max="15327" width="26.28515625" style="4" customWidth="1"/>
    <col min="15328" max="15328" width="45.42578125" style="4" customWidth="1"/>
    <col min="15329" max="15329" width="14.85546875" style="4" customWidth="1"/>
    <col min="15330" max="15333" width="9.28515625" style="4" customWidth="1"/>
    <col min="15334" max="15334" width="0.140625" style="4" customWidth="1"/>
    <col min="15335" max="15335" width="29.42578125" style="4" customWidth="1"/>
    <col min="15336" max="15336" width="24.42578125" style="4" customWidth="1"/>
    <col min="15337" max="15337" width="26.7109375" style="4" customWidth="1"/>
    <col min="15338" max="15338" width="24.85546875" style="4" customWidth="1"/>
    <col min="15339" max="15339" width="21.28515625" style="4" customWidth="1"/>
    <col min="15340" max="15343" width="21.5703125" style="4" customWidth="1"/>
    <col min="15344" max="15344" width="28.28515625" style="4" customWidth="1"/>
    <col min="15345" max="15345" width="33" style="4" customWidth="1"/>
    <col min="15346" max="15346" width="22.85546875" style="4" customWidth="1"/>
    <col min="15347" max="15347" width="22" style="4" customWidth="1"/>
    <col min="15348" max="15348" width="24.7109375" style="4" customWidth="1"/>
    <col min="15349" max="15349" width="28.7109375" style="4" customWidth="1"/>
    <col min="15350" max="15350" width="23.5703125" style="4" customWidth="1"/>
    <col min="15351" max="15351" width="24.28515625" style="4" customWidth="1"/>
    <col min="15352" max="15352" width="23.5703125" style="4" customWidth="1"/>
    <col min="15353" max="15357" width="24.28515625" style="4" customWidth="1"/>
    <col min="15358" max="15358" width="22.7109375" style="4" customWidth="1"/>
    <col min="15359" max="15359" width="21.5703125" style="4" customWidth="1"/>
    <col min="15360" max="15360" width="21.42578125" style="4" customWidth="1"/>
    <col min="15361" max="15361" width="22.28515625" style="4" customWidth="1"/>
    <col min="15362" max="15362" width="22.5703125" style="4" customWidth="1"/>
    <col min="15363" max="15363" width="23.28515625" style="4" customWidth="1"/>
    <col min="15364" max="15365" width="20.5703125" style="4" customWidth="1"/>
    <col min="15366" max="15366" width="21.28515625" style="4" customWidth="1"/>
    <col min="15367" max="15367" width="21.42578125" style="4" customWidth="1"/>
    <col min="15368" max="15368" width="22" style="4" customWidth="1"/>
    <col min="15369" max="15370" width="21.5703125" style="4" customWidth="1"/>
    <col min="15371" max="15371" width="22.28515625" style="4" customWidth="1"/>
    <col min="15372" max="15372" width="25.42578125" style="4" customWidth="1"/>
    <col min="15373" max="15373" width="25.28515625" style="4" customWidth="1"/>
    <col min="15374" max="15374" width="28.7109375" style="4" customWidth="1"/>
    <col min="15375" max="15375" width="22.140625" style="4" customWidth="1"/>
    <col min="15376" max="15376" width="22" style="4" customWidth="1"/>
    <col min="15377" max="15377" width="24.5703125" style="4" customWidth="1"/>
    <col min="15378" max="15378" width="19.7109375" style="4" customWidth="1"/>
    <col min="15379" max="15379" width="29.140625" style="4" customWidth="1"/>
    <col min="15380" max="15380" width="25.140625" style="4" customWidth="1"/>
    <col min="15381" max="15382" width="29.42578125" style="4" customWidth="1"/>
    <col min="15383" max="15384" width="23.7109375" style="4" customWidth="1"/>
    <col min="15385" max="15385" width="26.7109375" style="4" customWidth="1"/>
    <col min="15386" max="15386" width="29.85546875" style="4" customWidth="1"/>
    <col min="15387" max="15389" width="23.28515625" style="4" customWidth="1"/>
    <col min="15390" max="15390" width="23.85546875" style="4" customWidth="1"/>
    <col min="15391" max="15391" width="26.7109375" style="4" customWidth="1"/>
    <col min="15392" max="15392" width="24.5703125" style="4" customWidth="1"/>
    <col min="15393" max="15393" width="26.85546875" style="4" customWidth="1"/>
    <col min="15394" max="15395" width="23.5703125" style="4" customWidth="1"/>
    <col min="15396" max="15396" width="28.7109375" style="4" customWidth="1"/>
    <col min="15397" max="15397" width="34.42578125" style="4" customWidth="1"/>
    <col min="15398" max="15398" width="29.7109375" style="4" customWidth="1"/>
    <col min="15399" max="15399" width="22" style="4" customWidth="1"/>
    <col min="15400" max="15400" width="23.7109375" style="4" customWidth="1"/>
    <col min="15401" max="15401" width="23.5703125" style="4" customWidth="1"/>
    <col min="15402" max="15405" width="22.140625" style="4" customWidth="1"/>
    <col min="15406" max="15406" width="25.28515625" style="4" customWidth="1"/>
    <col min="15407" max="15407" width="45.42578125" style="4" customWidth="1"/>
    <col min="15408" max="15408" width="24.7109375" style="4" customWidth="1"/>
    <col min="15409" max="15409" width="26.42578125" style="4" customWidth="1"/>
    <col min="15410" max="15410" width="29.28515625" style="4" customWidth="1"/>
    <col min="15411" max="15413" width="27.28515625" style="4" customWidth="1"/>
    <col min="15414" max="15414" width="31.7109375" style="4" customWidth="1"/>
    <col min="15415" max="15415" width="27.7109375" style="4" customWidth="1"/>
    <col min="15416" max="15418" width="28.28515625" style="4" customWidth="1"/>
    <col min="15419" max="15419" width="24.7109375" style="4" customWidth="1"/>
    <col min="15420" max="15420" width="24.140625" style="4" customWidth="1"/>
    <col min="15421" max="15423" width="22.28515625" style="4" customWidth="1"/>
    <col min="15424" max="15424" width="22.42578125" style="4" customWidth="1"/>
    <col min="15425" max="15425" width="23.7109375" style="4" customWidth="1"/>
    <col min="15426" max="15428" width="9.28515625" style="4" customWidth="1"/>
    <col min="15429" max="15582" width="9.28515625" style="4"/>
    <col min="15583" max="15583" width="26.28515625" style="4" customWidth="1"/>
    <col min="15584" max="15584" width="45.42578125" style="4" customWidth="1"/>
    <col min="15585" max="15585" width="14.85546875" style="4" customWidth="1"/>
    <col min="15586" max="15589" width="9.28515625" style="4" customWidth="1"/>
    <col min="15590" max="15590" width="0.140625" style="4" customWidth="1"/>
    <col min="15591" max="15591" width="29.42578125" style="4" customWidth="1"/>
    <col min="15592" max="15592" width="24.42578125" style="4" customWidth="1"/>
    <col min="15593" max="15593" width="26.7109375" style="4" customWidth="1"/>
    <col min="15594" max="15594" width="24.85546875" style="4" customWidth="1"/>
    <col min="15595" max="15595" width="21.28515625" style="4" customWidth="1"/>
    <col min="15596" max="15599" width="21.5703125" style="4" customWidth="1"/>
    <col min="15600" max="15600" width="28.28515625" style="4" customWidth="1"/>
    <col min="15601" max="15601" width="33" style="4" customWidth="1"/>
    <col min="15602" max="15602" width="22.85546875" style="4" customWidth="1"/>
    <col min="15603" max="15603" width="22" style="4" customWidth="1"/>
    <col min="15604" max="15604" width="24.7109375" style="4" customWidth="1"/>
    <col min="15605" max="15605" width="28.7109375" style="4" customWidth="1"/>
    <col min="15606" max="15606" width="23.5703125" style="4" customWidth="1"/>
    <col min="15607" max="15607" width="24.28515625" style="4" customWidth="1"/>
    <col min="15608" max="15608" width="23.5703125" style="4" customWidth="1"/>
    <col min="15609" max="15613" width="24.28515625" style="4" customWidth="1"/>
    <col min="15614" max="15614" width="22.7109375" style="4" customWidth="1"/>
    <col min="15615" max="15615" width="21.5703125" style="4" customWidth="1"/>
    <col min="15616" max="15616" width="21.42578125" style="4" customWidth="1"/>
    <col min="15617" max="15617" width="22.28515625" style="4" customWidth="1"/>
    <col min="15618" max="15618" width="22.5703125" style="4" customWidth="1"/>
    <col min="15619" max="15619" width="23.28515625" style="4" customWidth="1"/>
    <col min="15620" max="15621" width="20.5703125" style="4" customWidth="1"/>
    <col min="15622" max="15622" width="21.28515625" style="4" customWidth="1"/>
    <col min="15623" max="15623" width="21.42578125" style="4" customWidth="1"/>
    <col min="15624" max="15624" width="22" style="4" customWidth="1"/>
    <col min="15625" max="15626" width="21.5703125" style="4" customWidth="1"/>
    <col min="15627" max="15627" width="22.28515625" style="4" customWidth="1"/>
    <col min="15628" max="15628" width="25.42578125" style="4" customWidth="1"/>
    <col min="15629" max="15629" width="25.28515625" style="4" customWidth="1"/>
    <col min="15630" max="15630" width="28.7109375" style="4" customWidth="1"/>
    <col min="15631" max="15631" width="22.140625" style="4" customWidth="1"/>
    <col min="15632" max="15632" width="22" style="4" customWidth="1"/>
    <col min="15633" max="15633" width="24.5703125" style="4" customWidth="1"/>
    <col min="15634" max="15634" width="19.7109375" style="4" customWidth="1"/>
    <col min="15635" max="15635" width="29.140625" style="4" customWidth="1"/>
    <col min="15636" max="15636" width="25.140625" style="4" customWidth="1"/>
    <col min="15637" max="15638" width="29.42578125" style="4" customWidth="1"/>
    <col min="15639" max="15640" width="23.7109375" style="4" customWidth="1"/>
    <col min="15641" max="15641" width="26.7109375" style="4" customWidth="1"/>
    <col min="15642" max="15642" width="29.85546875" style="4" customWidth="1"/>
    <col min="15643" max="15645" width="23.28515625" style="4" customWidth="1"/>
    <col min="15646" max="15646" width="23.85546875" style="4" customWidth="1"/>
    <col min="15647" max="15647" width="26.7109375" style="4" customWidth="1"/>
    <col min="15648" max="15648" width="24.5703125" style="4" customWidth="1"/>
    <col min="15649" max="15649" width="26.85546875" style="4" customWidth="1"/>
    <col min="15650" max="15651" width="23.5703125" style="4" customWidth="1"/>
    <col min="15652" max="15652" width="28.7109375" style="4" customWidth="1"/>
    <col min="15653" max="15653" width="34.42578125" style="4" customWidth="1"/>
    <col min="15654" max="15654" width="29.7109375" style="4" customWidth="1"/>
    <col min="15655" max="15655" width="22" style="4" customWidth="1"/>
    <col min="15656" max="15656" width="23.7109375" style="4" customWidth="1"/>
    <col min="15657" max="15657" width="23.5703125" style="4" customWidth="1"/>
    <col min="15658" max="15661" width="22.140625" style="4" customWidth="1"/>
    <col min="15662" max="15662" width="25.28515625" style="4" customWidth="1"/>
    <col min="15663" max="15663" width="45.42578125" style="4" customWidth="1"/>
    <col min="15664" max="15664" width="24.7109375" style="4" customWidth="1"/>
    <col min="15665" max="15665" width="26.42578125" style="4" customWidth="1"/>
    <col min="15666" max="15666" width="29.28515625" style="4" customWidth="1"/>
    <col min="15667" max="15669" width="27.28515625" style="4" customWidth="1"/>
    <col min="15670" max="15670" width="31.7109375" style="4" customWidth="1"/>
    <col min="15671" max="15671" width="27.7109375" style="4" customWidth="1"/>
    <col min="15672" max="15674" width="28.28515625" style="4" customWidth="1"/>
    <col min="15675" max="15675" width="24.7109375" style="4" customWidth="1"/>
    <col min="15676" max="15676" width="24.140625" style="4" customWidth="1"/>
    <col min="15677" max="15679" width="22.28515625" style="4" customWidth="1"/>
    <col min="15680" max="15680" width="22.42578125" style="4" customWidth="1"/>
    <col min="15681" max="15681" width="23.7109375" style="4" customWidth="1"/>
    <col min="15682" max="15684" width="9.28515625" style="4" customWidth="1"/>
    <col min="15685" max="15838" width="9.28515625" style="4"/>
    <col min="15839" max="15839" width="26.28515625" style="4" customWidth="1"/>
    <col min="15840" max="15840" width="45.42578125" style="4" customWidth="1"/>
    <col min="15841" max="15841" width="14.85546875" style="4" customWidth="1"/>
    <col min="15842" max="15845" width="9.28515625" style="4" customWidth="1"/>
    <col min="15846" max="15846" width="0.140625" style="4" customWidth="1"/>
    <col min="15847" max="15847" width="29.42578125" style="4" customWidth="1"/>
    <col min="15848" max="15848" width="24.42578125" style="4" customWidth="1"/>
    <col min="15849" max="15849" width="26.7109375" style="4" customWidth="1"/>
    <col min="15850" max="15850" width="24.85546875" style="4" customWidth="1"/>
    <col min="15851" max="15851" width="21.28515625" style="4" customWidth="1"/>
    <col min="15852" max="15855" width="21.5703125" style="4" customWidth="1"/>
    <col min="15856" max="15856" width="28.28515625" style="4" customWidth="1"/>
    <col min="15857" max="15857" width="33" style="4" customWidth="1"/>
    <col min="15858" max="15858" width="22.85546875" style="4" customWidth="1"/>
    <col min="15859" max="15859" width="22" style="4" customWidth="1"/>
    <col min="15860" max="15860" width="24.7109375" style="4" customWidth="1"/>
    <col min="15861" max="15861" width="28.7109375" style="4" customWidth="1"/>
    <col min="15862" max="15862" width="23.5703125" style="4" customWidth="1"/>
    <col min="15863" max="15863" width="24.28515625" style="4" customWidth="1"/>
    <col min="15864" max="15864" width="23.5703125" style="4" customWidth="1"/>
    <col min="15865" max="15869" width="24.28515625" style="4" customWidth="1"/>
    <col min="15870" max="15870" width="22.7109375" style="4" customWidth="1"/>
    <col min="15871" max="15871" width="21.5703125" style="4" customWidth="1"/>
    <col min="15872" max="15872" width="21.42578125" style="4" customWidth="1"/>
    <col min="15873" max="15873" width="22.28515625" style="4" customWidth="1"/>
    <col min="15874" max="15874" width="22.5703125" style="4" customWidth="1"/>
    <col min="15875" max="15875" width="23.28515625" style="4" customWidth="1"/>
    <col min="15876" max="15877" width="20.5703125" style="4" customWidth="1"/>
    <col min="15878" max="15878" width="21.28515625" style="4" customWidth="1"/>
    <col min="15879" max="15879" width="21.42578125" style="4" customWidth="1"/>
    <col min="15880" max="15880" width="22" style="4" customWidth="1"/>
    <col min="15881" max="15882" width="21.5703125" style="4" customWidth="1"/>
    <col min="15883" max="15883" width="22.28515625" style="4" customWidth="1"/>
    <col min="15884" max="15884" width="25.42578125" style="4" customWidth="1"/>
    <col min="15885" max="15885" width="25.28515625" style="4" customWidth="1"/>
    <col min="15886" max="15886" width="28.7109375" style="4" customWidth="1"/>
    <col min="15887" max="15887" width="22.140625" style="4" customWidth="1"/>
    <col min="15888" max="15888" width="22" style="4" customWidth="1"/>
    <col min="15889" max="15889" width="24.5703125" style="4" customWidth="1"/>
    <col min="15890" max="15890" width="19.7109375" style="4" customWidth="1"/>
    <col min="15891" max="15891" width="29.140625" style="4" customWidth="1"/>
    <col min="15892" max="15892" width="25.140625" style="4" customWidth="1"/>
    <col min="15893" max="15894" width="29.42578125" style="4" customWidth="1"/>
    <col min="15895" max="15896" width="23.7109375" style="4" customWidth="1"/>
    <col min="15897" max="15897" width="26.7109375" style="4" customWidth="1"/>
    <col min="15898" max="15898" width="29.85546875" style="4" customWidth="1"/>
    <col min="15899" max="15901" width="23.28515625" style="4" customWidth="1"/>
    <col min="15902" max="15902" width="23.85546875" style="4" customWidth="1"/>
    <col min="15903" max="15903" width="26.7109375" style="4" customWidth="1"/>
    <col min="15904" max="15904" width="24.5703125" style="4" customWidth="1"/>
    <col min="15905" max="15905" width="26.85546875" style="4" customWidth="1"/>
    <col min="15906" max="15907" width="23.5703125" style="4" customWidth="1"/>
    <col min="15908" max="15908" width="28.7109375" style="4" customWidth="1"/>
    <col min="15909" max="15909" width="34.42578125" style="4" customWidth="1"/>
    <col min="15910" max="15910" width="29.7109375" style="4" customWidth="1"/>
    <col min="15911" max="15911" width="22" style="4" customWidth="1"/>
    <col min="15912" max="15912" width="23.7109375" style="4" customWidth="1"/>
    <col min="15913" max="15913" width="23.5703125" style="4" customWidth="1"/>
    <col min="15914" max="15917" width="22.140625" style="4" customWidth="1"/>
    <col min="15918" max="15918" width="25.28515625" style="4" customWidth="1"/>
    <col min="15919" max="15919" width="45.42578125" style="4" customWidth="1"/>
    <col min="15920" max="15920" width="24.7109375" style="4" customWidth="1"/>
    <col min="15921" max="15921" width="26.42578125" style="4" customWidth="1"/>
    <col min="15922" max="15922" width="29.28515625" style="4" customWidth="1"/>
    <col min="15923" max="15925" width="27.28515625" style="4" customWidth="1"/>
    <col min="15926" max="15926" width="31.7109375" style="4" customWidth="1"/>
    <col min="15927" max="15927" width="27.7109375" style="4" customWidth="1"/>
    <col min="15928" max="15930" width="28.28515625" style="4" customWidth="1"/>
    <col min="15931" max="15931" width="24.7109375" style="4" customWidth="1"/>
    <col min="15932" max="15932" width="24.140625" style="4" customWidth="1"/>
    <col min="15933" max="15935" width="22.28515625" style="4" customWidth="1"/>
    <col min="15936" max="15936" width="22.42578125" style="4" customWidth="1"/>
    <col min="15937" max="15937" width="23.7109375" style="4" customWidth="1"/>
    <col min="15938" max="15940" width="9.28515625" style="4" customWidth="1"/>
    <col min="15941" max="16094" width="9.28515625" style="4"/>
    <col min="16095" max="16095" width="26.28515625" style="4" customWidth="1"/>
    <col min="16096" max="16096" width="45.42578125" style="4" customWidth="1"/>
    <col min="16097" max="16097" width="14.85546875" style="4" customWidth="1"/>
    <col min="16098" max="16101" width="9.28515625" style="4" customWidth="1"/>
    <col min="16102" max="16102" width="0.140625" style="4" customWidth="1"/>
    <col min="16103" max="16103" width="29.42578125" style="4" customWidth="1"/>
    <col min="16104" max="16104" width="24.42578125" style="4" customWidth="1"/>
    <col min="16105" max="16105" width="26.7109375" style="4" customWidth="1"/>
    <col min="16106" max="16106" width="24.85546875" style="4" customWidth="1"/>
    <col min="16107" max="16107" width="21.28515625" style="4" customWidth="1"/>
    <col min="16108" max="16111" width="21.5703125" style="4" customWidth="1"/>
    <col min="16112" max="16112" width="28.28515625" style="4" customWidth="1"/>
    <col min="16113" max="16113" width="33" style="4" customWidth="1"/>
    <col min="16114" max="16114" width="22.85546875" style="4" customWidth="1"/>
    <col min="16115" max="16115" width="22" style="4" customWidth="1"/>
    <col min="16116" max="16116" width="24.7109375" style="4" customWidth="1"/>
    <col min="16117" max="16117" width="28.7109375" style="4" customWidth="1"/>
    <col min="16118" max="16118" width="23.5703125" style="4" customWidth="1"/>
    <col min="16119" max="16119" width="24.28515625" style="4" customWidth="1"/>
    <col min="16120" max="16120" width="23.5703125" style="4" customWidth="1"/>
    <col min="16121" max="16125" width="24.28515625" style="4" customWidth="1"/>
    <col min="16126" max="16126" width="22.7109375" style="4" customWidth="1"/>
    <col min="16127" max="16127" width="21.5703125" style="4" customWidth="1"/>
    <col min="16128" max="16128" width="21.42578125" style="4" customWidth="1"/>
    <col min="16129" max="16129" width="22.28515625" style="4" customWidth="1"/>
    <col min="16130" max="16130" width="22.5703125" style="4" customWidth="1"/>
    <col min="16131" max="16131" width="23.28515625" style="4" customWidth="1"/>
    <col min="16132" max="16133" width="20.5703125" style="4" customWidth="1"/>
    <col min="16134" max="16134" width="21.28515625" style="4" customWidth="1"/>
    <col min="16135" max="16135" width="21.42578125" style="4" customWidth="1"/>
    <col min="16136" max="16136" width="22" style="4" customWidth="1"/>
    <col min="16137" max="16138" width="21.5703125" style="4" customWidth="1"/>
    <col min="16139" max="16139" width="22.28515625" style="4" customWidth="1"/>
    <col min="16140" max="16140" width="25.42578125" style="4" customWidth="1"/>
    <col min="16141" max="16141" width="25.28515625" style="4" customWidth="1"/>
    <col min="16142" max="16142" width="28.7109375" style="4" customWidth="1"/>
    <col min="16143" max="16143" width="22.140625" style="4" customWidth="1"/>
    <col min="16144" max="16144" width="22" style="4" customWidth="1"/>
    <col min="16145" max="16145" width="24.5703125" style="4" customWidth="1"/>
    <col min="16146" max="16146" width="19.7109375" style="4" customWidth="1"/>
    <col min="16147" max="16147" width="29.140625" style="4" customWidth="1"/>
    <col min="16148" max="16148" width="25.140625" style="4" customWidth="1"/>
    <col min="16149" max="16150" width="29.42578125" style="4" customWidth="1"/>
    <col min="16151" max="16152" width="23.7109375" style="4" customWidth="1"/>
    <col min="16153" max="16153" width="26.7109375" style="4" customWidth="1"/>
    <col min="16154" max="16154" width="29.85546875" style="4" customWidth="1"/>
    <col min="16155" max="16157" width="23.28515625" style="4" customWidth="1"/>
    <col min="16158" max="16158" width="23.85546875" style="4" customWidth="1"/>
    <col min="16159" max="16159" width="26.7109375" style="4" customWidth="1"/>
    <col min="16160" max="16160" width="24.5703125" style="4" customWidth="1"/>
    <col min="16161" max="16161" width="26.85546875" style="4" customWidth="1"/>
    <col min="16162" max="16163" width="23.5703125" style="4" customWidth="1"/>
    <col min="16164" max="16164" width="28.7109375" style="4" customWidth="1"/>
    <col min="16165" max="16165" width="34.42578125" style="4" customWidth="1"/>
    <col min="16166" max="16166" width="29.7109375" style="4" customWidth="1"/>
    <col min="16167" max="16167" width="22" style="4" customWidth="1"/>
    <col min="16168" max="16168" width="23.7109375" style="4" customWidth="1"/>
    <col min="16169" max="16169" width="23.5703125" style="4" customWidth="1"/>
    <col min="16170" max="16173" width="22.140625" style="4" customWidth="1"/>
    <col min="16174" max="16174" width="25.28515625" style="4" customWidth="1"/>
    <col min="16175" max="16175" width="45.42578125" style="4" customWidth="1"/>
    <col min="16176" max="16176" width="24.7109375" style="4" customWidth="1"/>
    <col min="16177" max="16177" width="26.42578125" style="4" customWidth="1"/>
    <col min="16178" max="16178" width="29.28515625" style="4" customWidth="1"/>
    <col min="16179" max="16181" width="27.28515625" style="4" customWidth="1"/>
    <col min="16182" max="16182" width="31.7109375" style="4" customWidth="1"/>
    <col min="16183" max="16183" width="27.7109375" style="4" customWidth="1"/>
    <col min="16184" max="16186" width="28.28515625" style="4" customWidth="1"/>
    <col min="16187" max="16187" width="24.7109375" style="4" customWidth="1"/>
    <col min="16188" max="16188" width="24.140625" style="4" customWidth="1"/>
    <col min="16189" max="16191" width="22.28515625" style="4" customWidth="1"/>
    <col min="16192" max="16192" width="22.42578125" style="4" customWidth="1"/>
    <col min="16193" max="16193" width="23.7109375" style="4" customWidth="1"/>
    <col min="16194" max="16194" width="0" style="4" hidden="1" customWidth="1"/>
    <col min="16195" max="16196" width="9.28515625" style="4" customWidth="1"/>
    <col min="16197" max="16384" width="9.28515625" style="4"/>
  </cols>
  <sheetData>
    <row r="1" spans="1:270" ht="32.25" customHeight="1" x14ac:dyDescent="0.3">
      <c r="A1" s="62" t="s">
        <v>1587</v>
      </c>
      <c r="B1" s="62"/>
      <c r="C1" s="62"/>
      <c r="D1" s="62"/>
      <c r="E1" s="62"/>
      <c r="F1" s="62"/>
      <c r="G1" s="62"/>
      <c r="H1" s="56"/>
      <c r="I1" s="56"/>
      <c r="J1" s="55"/>
      <c r="K1" s="55"/>
      <c r="L1" s="76"/>
      <c r="M1" s="48"/>
      <c r="N1" s="48"/>
      <c r="O1" s="56"/>
      <c r="P1" s="48"/>
      <c r="Q1" s="56"/>
      <c r="R1" s="56"/>
      <c r="S1" s="56"/>
      <c r="T1" s="48"/>
      <c r="U1" s="48"/>
      <c r="V1" s="56"/>
      <c r="W1" s="56"/>
      <c r="X1" s="55"/>
      <c r="Y1" s="52"/>
      <c r="Z1" s="48"/>
      <c r="AA1" s="56"/>
      <c r="AB1" s="56"/>
      <c r="AC1" s="56"/>
      <c r="AD1" s="56"/>
      <c r="AE1" s="56"/>
      <c r="AF1" s="48"/>
      <c r="AG1" s="55"/>
      <c r="AH1" s="55"/>
      <c r="AI1" s="55"/>
      <c r="AO1" s="55"/>
      <c r="AW1" s="62"/>
      <c r="AX1" s="62"/>
      <c r="AY1" s="52"/>
      <c r="AZ1" s="55"/>
      <c r="BA1" s="89"/>
      <c r="BB1" s="48"/>
      <c r="BC1" s="48"/>
      <c r="BD1" s="48"/>
      <c r="BE1" s="56"/>
      <c r="BF1" s="56"/>
      <c r="BG1" s="56"/>
      <c r="BH1" s="56"/>
      <c r="BI1" s="56"/>
    </row>
    <row r="2" spans="1:270" s="6" customFormat="1" ht="97.5" customHeight="1" x14ac:dyDescent="0.25">
      <c r="A2" s="148"/>
      <c r="B2" s="148"/>
      <c r="C2" s="149"/>
      <c r="D2" s="150"/>
      <c r="E2" s="151" t="s">
        <v>1588</v>
      </c>
      <c r="F2" s="151"/>
      <c r="G2" s="151"/>
      <c r="H2" s="145" t="s">
        <v>1371</v>
      </c>
      <c r="I2" s="145"/>
      <c r="J2" s="145" t="s">
        <v>1318</v>
      </c>
      <c r="K2" s="145" t="s">
        <v>1415</v>
      </c>
      <c r="L2" s="153" t="s">
        <v>1354</v>
      </c>
      <c r="M2" s="153"/>
      <c r="N2" s="153" t="s">
        <v>1439</v>
      </c>
      <c r="O2" s="147" t="s">
        <v>1531</v>
      </c>
      <c r="P2" s="145" t="s">
        <v>1494</v>
      </c>
      <c r="Q2" s="145" t="s">
        <v>1343</v>
      </c>
      <c r="R2" s="145"/>
      <c r="S2" s="152" t="s">
        <v>1490</v>
      </c>
      <c r="T2" s="145" t="s">
        <v>1555</v>
      </c>
      <c r="U2" s="145"/>
      <c r="V2" s="145" t="s">
        <v>1440</v>
      </c>
      <c r="W2" s="145" t="s">
        <v>1362</v>
      </c>
      <c r="X2" s="147" t="s">
        <v>1344</v>
      </c>
      <c r="Y2" s="145" t="s">
        <v>1303</v>
      </c>
      <c r="Z2" s="145"/>
      <c r="AA2" s="145" t="s">
        <v>1306</v>
      </c>
      <c r="AB2" s="145" t="s">
        <v>1384</v>
      </c>
      <c r="AC2" s="145"/>
      <c r="AD2" s="147" t="s">
        <v>1441</v>
      </c>
      <c r="AE2" s="145" t="s">
        <v>1368</v>
      </c>
      <c r="AF2" s="145" t="s">
        <v>1383</v>
      </c>
      <c r="AG2" s="147" t="s">
        <v>1376</v>
      </c>
      <c r="AH2" s="147" t="s">
        <v>1322</v>
      </c>
      <c r="AI2" s="147" t="s">
        <v>1442</v>
      </c>
      <c r="AJ2" s="143" t="s">
        <v>1377</v>
      </c>
      <c r="AK2" s="143" t="s">
        <v>3</v>
      </c>
      <c r="AL2" s="143"/>
      <c r="AM2" s="143" t="s">
        <v>1532</v>
      </c>
      <c r="AN2" s="143"/>
      <c r="AO2" s="154" t="s">
        <v>1581</v>
      </c>
      <c r="AP2" s="143" t="s">
        <v>1443</v>
      </c>
      <c r="AQ2" s="143"/>
      <c r="AR2" s="143" t="s">
        <v>1577</v>
      </c>
      <c r="AS2" s="143"/>
      <c r="AT2" s="143" t="s">
        <v>1445</v>
      </c>
      <c r="AU2" s="143" t="s">
        <v>1516</v>
      </c>
      <c r="AV2" s="143"/>
      <c r="AW2" s="147" t="s">
        <v>1477</v>
      </c>
      <c r="AX2" s="147"/>
      <c r="AY2" s="147" t="s">
        <v>1478</v>
      </c>
      <c r="AZ2" s="147" t="s">
        <v>1479</v>
      </c>
      <c r="BA2" s="144" t="s">
        <v>1130</v>
      </c>
      <c r="BB2" s="145" t="s">
        <v>1444</v>
      </c>
      <c r="BC2" s="145"/>
      <c r="BD2" s="145" t="s">
        <v>1518</v>
      </c>
      <c r="BE2" s="144" t="s">
        <v>0</v>
      </c>
      <c r="BF2" s="144" t="s">
        <v>1324</v>
      </c>
      <c r="BG2" s="144" t="s">
        <v>1325</v>
      </c>
      <c r="BH2" s="145" t="s">
        <v>1387</v>
      </c>
      <c r="BI2" s="145" t="s">
        <v>1467</v>
      </c>
      <c r="BJ2" s="143" t="s">
        <v>1507</v>
      </c>
      <c r="BK2" s="143"/>
      <c r="BL2" s="143" t="s">
        <v>1517</v>
      </c>
      <c r="BM2" s="143" t="s">
        <v>1583</v>
      </c>
      <c r="BN2" s="143" t="s">
        <v>1374</v>
      </c>
      <c r="BO2" s="143" t="s">
        <v>1380</v>
      </c>
      <c r="BP2" s="143" t="s">
        <v>1</v>
      </c>
      <c r="BQ2" s="146" t="s">
        <v>2</v>
      </c>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c r="IX2" s="50"/>
      <c r="IY2" s="50"/>
      <c r="IZ2" s="50"/>
      <c r="JA2" s="50"/>
      <c r="JB2" s="50"/>
      <c r="JC2" s="50"/>
      <c r="JD2" s="50"/>
      <c r="JE2" s="50"/>
      <c r="JF2" s="50"/>
      <c r="JG2" s="50"/>
      <c r="JH2" s="50"/>
      <c r="JI2" s="50"/>
      <c r="JJ2" s="50"/>
    </row>
    <row r="3" spans="1:270" s="7" customFormat="1" ht="114" customHeight="1" x14ac:dyDescent="0.25">
      <c r="A3" s="148"/>
      <c r="B3" s="148"/>
      <c r="C3" s="149"/>
      <c r="D3" s="150"/>
      <c r="E3" s="151"/>
      <c r="F3" s="151"/>
      <c r="G3" s="151"/>
      <c r="H3" s="145"/>
      <c r="I3" s="145"/>
      <c r="J3" s="145"/>
      <c r="K3" s="145"/>
      <c r="L3" s="153"/>
      <c r="M3" s="153"/>
      <c r="N3" s="153"/>
      <c r="O3" s="147"/>
      <c r="P3" s="145"/>
      <c r="Q3" s="145"/>
      <c r="R3" s="145"/>
      <c r="S3" s="152"/>
      <c r="T3" s="145"/>
      <c r="U3" s="145"/>
      <c r="V3" s="145"/>
      <c r="W3" s="145"/>
      <c r="X3" s="147"/>
      <c r="Y3" s="145"/>
      <c r="Z3" s="145"/>
      <c r="AA3" s="145"/>
      <c r="AB3" s="97" t="s">
        <v>1468</v>
      </c>
      <c r="AC3" s="97" t="s">
        <v>1379</v>
      </c>
      <c r="AD3" s="147"/>
      <c r="AE3" s="145"/>
      <c r="AF3" s="145"/>
      <c r="AG3" s="147"/>
      <c r="AH3" s="147"/>
      <c r="AI3" s="147"/>
      <c r="AJ3" s="143"/>
      <c r="AK3" s="143"/>
      <c r="AL3" s="143"/>
      <c r="AM3" s="143"/>
      <c r="AN3" s="143"/>
      <c r="AO3" s="155"/>
      <c r="AP3" s="143"/>
      <c r="AQ3" s="143"/>
      <c r="AR3" s="143"/>
      <c r="AS3" s="143"/>
      <c r="AT3" s="143"/>
      <c r="AU3" s="143"/>
      <c r="AV3" s="143"/>
      <c r="AW3" s="147"/>
      <c r="AX3" s="147"/>
      <c r="AY3" s="147"/>
      <c r="AZ3" s="147"/>
      <c r="BA3" s="144"/>
      <c r="BB3" s="145"/>
      <c r="BC3" s="145"/>
      <c r="BD3" s="145"/>
      <c r="BE3" s="144"/>
      <c r="BF3" s="144"/>
      <c r="BG3" s="144"/>
      <c r="BH3" s="145"/>
      <c r="BI3" s="145"/>
      <c r="BJ3" s="143"/>
      <c r="BK3" s="143"/>
      <c r="BL3" s="143"/>
      <c r="BM3" s="143"/>
      <c r="BN3" s="143"/>
      <c r="BO3" s="143"/>
      <c r="BP3" s="143"/>
      <c r="BQ3" s="146"/>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52"/>
      <c r="JB3" s="52"/>
      <c r="JC3" s="52"/>
      <c r="JD3" s="52"/>
      <c r="JE3" s="52"/>
      <c r="JF3" s="52"/>
      <c r="JG3" s="52"/>
      <c r="JH3" s="52"/>
      <c r="JI3" s="52"/>
      <c r="JJ3" s="52"/>
    </row>
    <row r="4" spans="1:270" s="7" customFormat="1" ht="47.45" customHeight="1" x14ac:dyDescent="0.25">
      <c r="A4" s="148"/>
      <c r="B4" s="148"/>
      <c r="C4" s="149"/>
      <c r="D4" s="150"/>
      <c r="E4" s="156" t="s">
        <v>1589</v>
      </c>
      <c r="F4" s="157" t="s">
        <v>4</v>
      </c>
      <c r="G4" s="156" t="s">
        <v>1378</v>
      </c>
      <c r="H4" s="128" t="s">
        <v>4</v>
      </c>
      <c r="I4" s="97" t="s">
        <v>1378</v>
      </c>
      <c r="J4" s="97" t="s">
        <v>1378</v>
      </c>
      <c r="K4" s="97" t="s">
        <v>1378</v>
      </c>
      <c r="L4" s="129" t="s">
        <v>4</v>
      </c>
      <c r="M4" s="97" t="s">
        <v>1378</v>
      </c>
      <c r="N4" s="97" t="s">
        <v>1378</v>
      </c>
      <c r="O4" s="97" t="s">
        <v>1378</v>
      </c>
      <c r="P4" s="97" t="s">
        <v>1378</v>
      </c>
      <c r="Q4" s="128" t="s">
        <v>4</v>
      </c>
      <c r="R4" s="97" t="s">
        <v>1378</v>
      </c>
      <c r="S4" s="97" t="s">
        <v>1378</v>
      </c>
      <c r="T4" s="141" t="s">
        <v>4</v>
      </c>
      <c r="U4" s="142" t="s">
        <v>1378</v>
      </c>
      <c r="V4" s="97" t="s">
        <v>1378</v>
      </c>
      <c r="W4" s="97" t="s">
        <v>1378</v>
      </c>
      <c r="X4" s="97" t="s">
        <v>1378</v>
      </c>
      <c r="Y4" s="128" t="s">
        <v>4</v>
      </c>
      <c r="Z4" s="97" t="s">
        <v>1378</v>
      </c>
      <c r="AA4" s="97" t="s">
        <v>1378</v>
      </c>
      <c r="AB4" s="97" t="s">
        <v>1378</v>
      </c>
      <c r="AC4" s="97" t="s">
        <v>1378</v>
      </c>
      <c r="AD4" s="97" t="s">
        <v>1378</v>
      </c>
      <c r="AE4" s="97" t="s">
        <v>1378</v>
      </c>
      <c r="AF4" s="97" t="s">
        <v>1378</v>
      </c>
      <c r="AG4" s="97" t="s">
        <v>1378</v>
      </c>
      <c r="AH4" s="97" t="s">
        <v>1378</v>
      </c>
      <c r="AI4" s="97" t="s">
        <v>1378</v>
      </c>
      <c r="AJ4" s="97" t="s">
        <v>1378</v>
      </c>
      <c r="AK4" s="128" t="s">
        <v>4</v>
      </c>
      <c r="AL4" s="97" t="s">
        <v>1378</v>
      </c>
      <c r="AM4" s="128" t="s">
        <v>4</v>
      </c>
      <c r="AN4" s="97" t="s">
        <v>1378</v>
      </c>
      <c r="AO4" s="126" t="s">
        <v>1378</v>
      </c>
      <c r="AP4" s="128" t="s">
        <v>4</v>
      </c>
      <c r="AQ4" s="97" t="s">
        <v>1378</v>
      </c>
      <c r="AR4" s="128" t="s">
        <v>4</v>
      </c>
      <c r="AS4" s="97" t="s">
        <v>1378</v>
      </c>
      <c r="AT4" s="97" t="s">
        <v>1378</v>
      </c>
      <c r="AU4" s="128" t="s">
        <v>4</v>
      </c>
      <c r="AV4" s="97" t="s">
        <v>1378</v>
      </c>
      <c r="AW4" s="128" t="s">
        <v>4</v>
      </c>
      <c r="AX4" s="97" t="s">
        <v>1378</v>
      </c>
      <c r="AY4" s="97" t="s">
        <v>1378</v>
      </c>
      <c r="AZ4" s="97" t="s">
        <v>1378</v>
      </c>
      <c r="BA4" s="97" t="s">
        <v>1378</v>
      </c>
      <c r="BB4" s="128" t="s">
        <v>4</v>
      </c>
      <c r="BC4" s="97" t="s">
        <v>1378</v>
      </c>
      <c r="BD4" s="97" t="s">
        <v>1378</v>
      </c>
      <c r="BE4" s="97" t="s">
        <v>1378</v>
      </c>
      <c r="BF4" s="97" t="s">
        <v>1378</v>
      </c>
      <c r="BG4" s="97" t="s">
        <v>1378</v>
      </c>
      <c r="BH4" s="97" t="s">
        <v>1378</v>
      </c>
      <c r="BI4" s="97" t="s">
        <v>1378</v>
      </c>
      <c r="BJ4" s="128" t="s">
        <v>4</v>
      </c>
      <c r="BK4" s="97" t="s">
        <v>1378</v>
      </c>
      <c r="BL4" s="97" t="s">
        <v>1378</v>
      </c>
      <c r="BM4" s="134" t="s">
        <v>1378</v>
      </c>
      <c r="BN4" s="97" t="s">
        <v>1378</v>
      </c>
      <c r="BO4" s="97" t="s">
        <v>1378</v>
      </c>
      <c r="BP4" s="97" t="s">
        <v>1378</v>
      </c>
      <c r="BQ4" s="135" t="s">
        <v>1378</v>
      </c>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row>
    <row r="5" spans="1:270" s="52" customFormat="1" ht="25.5" customHeight="1" x14ac:dyDescent="0.3">
      <c r="A5" s="98"/>
      <c r="B5" s="8"/>
      <c r="C5" s="99"/>
      <c r="D5" s="100"/>
      <c r="E5" s="99"/>
      <c r="F5" s="127"/>
      <c r="G5" s="101"/>
      <c r="H5" s="127"/>
      <c r="I5" s="101"/>
      <c r="J5" s="101"/>
      <c r="K5" s="101"/>
      <c r="L5" s="130"/>
      <c r="M5" s="102"/>
      <c r="N5" s="102"/>
      <c r="O5" s="101"/>
      <c r="P5" s="102"/>
      <c r="Q5" s="127"/>
      <c r="R5" s="101"/>
      <c r="S5" s="101"/>
      <c r="T5" s="132"/>
      <c r="U5" s="102"/>
      <c r="V5" s="101"/>
      <c r="W5" s="101"/>
      <c r="X5" s="101"/>
      <c r="Y5" s="131"/>
      <c r="Z5" s="102"/>
      <c r="AA5" s="101"/>
      <c r="AB5" s="101"/>
      <c r="AC5" s="101"/>
      <c r="AD5" s="101"/>
      <c r="AE5" s="101"/>
      <c r="AF5" s="102"/>
      <c r="AG5" s="101"/>
      <c r="AH5" s="101"/>
      <c r="AI5" s="101"/>
      <c r="AJ5" s="103"/>
      <c r="AK5" s="133"/>
      <c r="AL5" s="103"/>
      <c r="AM5" s="133"/>
      <c r="AN5" s="103"/>
      <c r="AO5" s="101"/>
      <c r="AP5" s="133"/>
      <c r="AQ5" s="103"/>
      <c r="AR5" s="133"/>
      <c r="AS5" s="103"/>
      <c r="AT5" s="103"/>
      <c r="AU5" s="133"/>
      <c r="AV5" s="103"/>
      <c r="AW5" s="127"/>
      <c r="AX5" s="101"/>
      <c r="AY5" s="101"/>
      <c r="AZ5" s="101"/>
      <c r="BA5" s="102"/>
      <c r="BB5" s="132"/>
      <c r="BC5" s="102"/>
      <c r="BD5" s="102"/>
      <c r="BE5" s="101"/>
      <c r="BF5" s="101"/>
      <c r="BG5" s="101"/>
      <c r="BH5" s="104"/>
      <c r="BI5" s="104"/>
      <c r="BJ5" s="133"/>
      <c r="BK5" s="103"/>
      <c r="BL5" s="103"/>
      <c r="BM5" s="134"/>
      <c r="BN5" s="103"/>
      <c r="BO5" s="103"/>
      <c r="BP5" s="103"/>
      <c r="BQ5" s="136"/>
    </row>
    <row r="6" spans="1:270" ht="39.950000000000003" customHeight="1" outlineLevel="1" x14ac:dyDescent="0.3">
      <c r="A6" s="11" t="s">
        <v>5</v>
      </c>
      <c r="B6" s="12" t="s">
        <v>27</v>
      </c>
      <c r="C6" s="9" t="s">
        <v>28</v>
      </c>
      <c r="D6" s="66">
        <v>240101443793</v>
      </c>
      <c r="E6" s="158">
        <f t="shared" ref="E6:E37" si="0">F6+G6</f>
        <v>254.90611999999999</v>
      </c>
      <c r="F6" s="159">
        <f t="shared" ref="F6:F51" si="1">H6+L6+Q6+Y6+T6+AK6+AP6+AM6+AR6+AU6+AW6+BB6+BJ6</f>
        <v>143.68847</v>
      </c>
      <c r="G6" s="160">
        <f t="shared" ref="G6:G51" si="2">I6+J6+K6+M6+N6+R6+S6+V6+W6+AD6+O6+X6+Z6+AA6+AB6+AC6+AE6+AF6+P6+U6+AG6+AH6+AI6+AO6+AJ6+AL6+AQ6+AN6+AS6+AV6+AX6+AY6+AZ6+BA6+BC6+BD6+BE6+BF6+BG6+BH6+BI6+AT6+BK6+BL6+BN6+BO6+BP6+BQ6+BM6</f>
        <v>111.21765000000001</v>
      </c>
      <c r="H6" s="159">
        <v>92.373750000000001</v>
      </c>
      <c r="I6" s="160">
        <v>30.791250000000002</v>
      </c>
      <c r="J6" s="160"/>
      <c r="K6" s="160"/>
      <c r="L6" s="159">
        <v>51.314720000000001</v>
      </c>
      <c r="M6" s="160">
        <v>80.426400000000001</v>
      </c>
      <c r="N6" s="160"/>
      <c r="O6" s="160"/>
      <c r="P6" s="160"/>
      <c r="Q6" s="159"/>
      <c r="R6" s="160"/>
      <c r="S6" s="160"/>
      <c r="T6" s="159"/>
      <c r="U6" s="160"/>
      <c r="V6" s="160"/>
      <c r="W6" s="160"/>
      <c r="X6" s="160"/>
      <c r="Y6" s="159"/>
      <c r="Z6" s="160"/>
      <c r="AA6" s="160"/>
      <c r="AB6" s="160"/>
      <c r="AC6" s="160"/>
      <c r="AD6" s="160"/>
      <c r="AE6" s="160"/>
      <c r="AF6" s="160"/>
      <c r="AG6" s="160"/>
      <c r="AH6" s="160"/>
      <c r="AI6" s="160"/>
      <c r="AJ6" s="161"/>
      <c r="AK6" s="162"/>
      <c r="AL6" s="161"/>
      <c r="AM6" s="162"/>
      <c r="AN6" s="161"/>
      <c r="AO6" s="160"/>
      <c r="AP6" s="162"/>
      <c r="AQ6" s="161"/>
      <c r="AR6" s="162"/>
      <c r="AS6" s="161"/>
      <c r="AT6" s="161"/>
      <c r="AU6" s="162"/>
      <c r="AV6" s="161"/>
      <c r="AW6" s="159"/>
      <c r="AX6" s="160"/>
      <c r="AY6" s="160"/>
      <c r="AZ6" s="160"/>
      <c r="BA6" s="160"/>
      <c r="BB6" s="159"/>
      <c r="BC6" s="160"/>
      <c r="BD6" s="160"/>
      <c r="BE6" s="160"/>
      <c r="BF6" s="160"/>
      <c r="BG6" s="160"/>
      <c r="BH6" s="160"/>
      <c r="BI6" s="160"/>
      <c r="BJ6" s="162"/>
      <c r="BK6" s="161"/>
      <c r="BL6" s="161"/>
      <c r="BM6" s="163"/>
      <c r="BN6" s="161"/>
      <c r="BO6" s="161"/>
      <c r="BP6" s="161"/>
      <c r="BQ6" s="164"/>
    </row>
    <row r="7" spans="1:270" ht="39.950000000000003" customHeight="1" outlineLevel="1" x14ac:dyDescent="0.3">
      <c r="A7" s="11" t="s">
        <v>5</v>
      </c>
      <c r="B7" s="11" t="s">
        <v>1438</v>
      </c>
      <c r="C7" s="9" t="s">
        <v>28</v>
      </c>
      <c r="D7" s="66">
        <v>240102151899</v>
      </c>
      <c r="E7" s="158">
        <f t="shared" si="0"/>
        <v>158.94015999999999</v>
      </c>
      <c r="F7" s="159">
        <f t="shared" si="1"/>
        <v>61.909059999999997</v>
      </c>
      <c r="G7" s="160">
        <f t="shared" si="2"/>
        <v>97.031099999999995</v>
      </c>
      <c r="H7" s="159"/>
      <c r="I7" s="160"/>
      <c r="J7" s="165"/>
      <c r="K7" s="165"/>
      <c r="L7" s="159">
        <v>61.909059999999997</v>
      </c>
      <c r="M7" s="165">
        <v>97.031099999999995</v>
      </c>
      <c r="N7" s="165"/>
      <c r="O7" s="165"/>
      <c r="P7" s="160"/>
      <c r="Q7" s="166"/>
      <c r="R7" s="165"/>
      <c r="S7" s="165"/>
      <c r="T7" s="159"/>
      <c r="U7" s="160"/>
      <c r="V7" s="165"/>
      <c r="W7" s="165"/>
      <c r="X7" s="160"/>
      <c r="Y7" s="166"/>
      <c r="Z7" s="160"/>
      <c r="AA7" s="160"/>
      <c r="AB7" s="165"/>
      <c r="AC7" s="165"/>
      <c r="AD7" s="165"/>
      <c r="AE7" s="165"/>
      <c r="AF7" s="160"/>
      <c r="AG7" s="160"/>
      <c r="AH7" s="160"/>
      <c r="AI7" s="165"/>
      <c r="AJ7" s="161"/>
      <c r="AK7" s="162"/>
      <c r="AL7" s="165"/>
      <c r="AM7" s="166"/>
      <c r="AN7" s="165"/>
      <c r="AO7" s="165"/>
      <c r="AP7" s="162"/>
      <c r="AQ7" s="161"/>
      <c r="AR7" s="162"/>
      <c r="AS7" s="161"/>
      <c r="AT7" s="165"/>
      <c r="AU7" s="166"/>
      <c r="AV7" s="165"/>
      <c r="AW7" s="166"/>
      <c r="AX7" s="165"/>
      <c r="AY7" s="165"/>
      <c r="AZ7" s="165"/>
      <c r="BA7" s="165"/>
      <c r="BB7" s="166"/>
      <c r="BC7" s="165"/>
      <c r="BD7" s="165"/>
      <c r="BE7" s="165"/>
      <c r="BF7" s="165"/>
      <c r="BG7" s="165"/>
      <c r="BH7" s="165"/>
      <c r="BI7" s="165"/>
      <c r="BJ7" s="166"/>
      <c r="BK7" s="165"/>
      <c r="BL7" s="165"/>
      <c r="BM7" s="163"/>
      <c r="BN7" s="165"/>
      <c r="BO7" s="165"/>
      <c r="BP7" s="165"/>
      <c r="BQ7" s="167"/>
    </row>
    <row r="8" spans="1:270" ht="39.950000000000003" customHeight="1" outlineLevel="1" x14ac:dyDescent="0.3">
      <c r="A8" s="8" t="s">
        <v>5</v>
      </c>
      <c r="B8" s="12" t="s">
        <v>63</v>
      </c>
      <c r="C8" s="9" t="s">
        <v>28</v>
      </c>
      <c r="D8" s="66" t="s">
        <v>64</v>
      </c>
      <c r="E8" s="158">
        <f t="shared" si="0"/>
        <v>717.36568999999997</v>
      </c>
      <c r="F8" s="159">
        <f t="shared" si="1"/>
        <v>121.5562</v>
      </c>
      <c r="G8" s="160">
        <f t="shared" si="2"/>
        <v>595.80948999999998</v>
      </c>
      <c r="H8" s="159"/>
      <c r="I8" s="160"/>
      <c r="J8" s="165"/>
      <c r="K8" s="165"/>
      <c r="L8" s="159">
        <v>121.5562</v>
      </c>
      <c r="M8" s="165">
        <v>190.51705999999999</v>
      </c>
      <c r="N8" s="165"/>
      <c r="O8" s="165"/>
      <c r="P8" s="160"/>
      <c r="Q8" s="166"/>
      <c r="R8" s="165"/>
      <c r="S8" s="165"/>
      <c r="T8" s="159"/>
      <c r="U8" s="160"/>
      <c r="V8" s="165"/>
      <c r="W8" s="165"/>
      <c r="X8" s="160"/>
      <c r="Y8" s="166"/>
      <c r="Z8" s="160"/>
      <c r="AA8" s="160"/>
      <c r="AB8" s="165"/>
      <c r="AC8" s="165"/>
      <c r="AD8" s="165"/>
      <c r="AE8" s="165"/>
      <c r="AF8" s="160"/>
      <c r="AG8" s="160"/>
      <c r="AH8" s="160"/>
      <c r="AI8" s="165"/>
      <c r="AJ8" s="161"/>
      <c r="AK8" s="162"/>
      <c r="AL8" s="165"/>
      <c r="AM8" s="166"/>
      <c r="AN8" s="165"/>
      <c r="AO8" s="165"/>
      <c r="AP8" s="162"/>
      <c r="AQ8" s="161"/>
      <c r="AR8" s="162"/>
      <c r="AS8" s="161"/>
      <c r="AT8" s="165"/>
      <c r="AU8" s="166"/>
      <c r="AV8" s="165"/>
      <c r="AW8" s="166"/>
      <c r="AX8" s="165"/>
      <c r="AY8" s="165"/>
      <c r="AZ8" s="165"/>
      <c r="BA8" s="165"/>
      <c r="BB8" s="166"/>
      <c r="BC8" s="165"/>
      <c r="BD8" s="165"/>
      <c r="BE8" s="165"/>
      <c r="BF8" s="165"/>
      <c r="BG8" s="165"/>
      <c r="BH8" s="165"/>
      <c r="BI8" s="165"/>
      <c r="BJ8" s="166"/>
      <c r="BK8" s="165"/>
      <c r="BL8" s="165"/>
      <c r="BM8" s="163"/>
      <c r="BN8" s="165"/>
      <c r="BO8" s="165">
        <v>405.29243000000002</v>
      </c>
      <c r="BP8" s="165"/>
      <c r="BQ8" s="167"/>
    </row>
    <row r="9" spans="1:270" ht="39.950000000000003" customHeight="1" outlineLevel="1" x14ac:dyDescent="0.3">
      <c r="A9" s="11" t="s">
        <v>5</v>
      </c>
      <c r="B9" s="12" t="s">
        <v>65</v>
      </c>
      <c r="C9" s="13" t="s">
        <v>28</v>
      </c>
      <c r="D9" s="66">
        <v>240101041438</v>
      </c>
      <c r="E9" s="158">
        <f t="shared" si="0"/>
        <v>16.358359999999998</v>
      </c>
      <c r="F9" s="159">
        <f t="shared" si="1"/>
        <v>6.3717699999999997</v>
      </c>
      <c r="G9" s="160">
        <f t="shared" si="2"/>
        <v>9.9865899999999996</v>
      </c>
      <c r="H9" s="159"/>
      <c r="I9" s="160"/>
      <c r="J9" s="160"/>
      <c r="K9" s="160"/>
      <c r="L9" s="159">
        <v>6.3717699999999997</v>
      </c>
      <c r="M9" s="160">
        <v>9.9865899999999996</v>
      </c>
      <c r="N9" s="160"/>
      <c r="O9" s="160"/>
      <c r="P9" s="160"/>
      <c r="Q9" s="159"/>
      <c r="R9" s="160"/>
      <c r="S9" s="160"/>
      <c r="T9" s="159"/>
      <c r="U9" s="160"/>
      <c r="V9" s="160"/>
      <c r="W9" s="160"/>
      <c r="X9" s="160"/>
      <c r="Y9" s="159"/>
      <c r="Z9" s="160"/>
      <c r="AA9" s="160"/>
      <c r="AB9" s="160"/>
      <c r="AC9" s="160"/>
      <c r="AD9" s="160"/>
      <c r="AE9" s="160"/>
      <c r="AF9" s="160"/>
      <c r="AG9" s="160"/>
      <c r="AH9" s="160"/>
      <c r="AI9" s="160"/>
      <c r="AJ9" s="161"/>
      <c r="AK9" s="162"/>
      <c r="AL9" s="165"/>
      <c r="AM9" s="166"/>
      <c r="AN9" s="165"/>
      <c r="AO9" s="160"/>
      <c r="AP9" s="162"/>
      <c r="AQ9" s="161"/>
      <c r="AR9" s="162"/>
      <c r="AS9" s="161"/>
      <c r="AT9" s="161"/>
      <c r="AU9" s="162"/>
      <c r="AV9" s="161"/>
      <c r="AW9" s="159"/>
      <c r="AX9" s="160"/>
      <c r="AY9" s="160"/>
      <c r="AZ9" s="160"/>
      <c r="BA9" s="160"/>
      <c r="BB9" s="159"/>
      <c r="BC9" s="160"/>
      <c r="BD9" s="160"/>
      <c r="BE9" s="160"/>
      <c r="BF9" s="160"/>
      <c r="BG9" s="160"/>
      <c r="BH9" s="160"/>
      <c r="BI9" s="160"/>
      <c r="BJ9" s="162"/>
      <c r="BK9" s="161"/>
      <c r="BL9" s="161"/>
      <c r="BM9" s="163"/>
      <c r="BN9" s="161"/>
      <c r="BO9" s="161"/>
      <c r="BP9" s="161"/>
      <c r="BQ9" s="164"/>
    </row>
    <row r="10" spans="1:270" ht="39.950000000000003" customHeight="1" outlineLevel="1" x14ac:dyDescent="0.3">
      <c r="A10" s="8" t="s">
        <v>5</v>
      </c>
      <c r="B10" s="8" t="s">
        <v>1580</v>
      </c>
      <c r="C10" s="9" t="s">
        <v>30</v>
      </c>
      <c r="D10" s="66" t="s">
        <v>59</v>
      </c>
      <c r="E10" s="158">
        <f t="shared" si="0"/>
        <v>104.84179</v>
      </c>
      <c r="F10" s="159">
        <f t="shared" si="1"/>
        <v>40.837110000000003</v>
      </c>
      <c r="G10" s="160">
        <f t="shared" si="2"/>
        <v>64.004679999999993</v>
      </c>
      <c r="H10" s="166"/>
      <c r="I10" s="160"/>
      <c r="J10" s="165"/>
      <c r="K10" s="165"/>
      <c r="L10" s="159">
        <v>40.837110000000003</v>
      </c>
      <c r="M10" s="165">
        <v>64.004679999999993</v>
      </c>
      <c r="N10" s="165"/>
      <c r="O10" s="165"/>
      <c r="P10" s="160"/>
      <c r="Q10" s="166"/>
      <c r="R10" s="165"/>
      <c r="S10" s="165"/>
      <c r="T10" s="159"/>
      <c r="U10" s="160"/>
      <c r="V10" s="165"/>
      <c r="W10" s="165"/>
      <c r="X10" s="160"/>
      <c r="Y10" s="166"/>
      <c r="Z10" s="160"/>
      <c r="AA10" s="160"/>
      <c r="AB10" s="165"/>
      <c r="AC10" s="165"/>
      <c r="AD10" s="165"/>
      <c r="AE10" s="165"/>
      <c r="AF10" s="160"/>
      <c r="AG10" s="160"/>
      <c r="AH10" s="160"/>
      <c r="AI10" s="165"/>
      <c r="AJ10" s="161"/>
      <c r="AK10" s="162"/>
      <c r="AL10" s="165"/>
      <c r="AM10" s="166"/>
      <c r="AN10" s="165"/>
      <c r="AO10" s="165"/>
      <c r="AP10" s="162"/>
      <c r="AQ10" s="161"/>
      <c r="AR10" s="162"/>
      <c r="AS10" s="161"/>
      <c r="AT10" s="165"/>
      <c r="AU10" s="166"/>
      <c r="AV10" s="165"/>
      <c r="AW10" s="166"/>
      <c r="AX10" s="165"/>
      <c r="AY10" s="165"/>
      <c r="AZ10" s="165"/>
      <c r="BA10" s="165"/>
      <c r="BB10" s="166"/>
      <c r="BC10" s="165"/>
      <c r="BD10" s="165"/>
      <c r="BE10" s="165"/>
      <c r="BF10" s="165"/>
      <c r="BG10" s="165"/>
      <c r="BH10" s="165"/>
      <c r="BI10" s="165"/>
      <c r="BJ10" s="166"/>
      <c r="BK10" s="165"/>
      <c r="BL10" s="165"/>
      <c r="BM10" s="163"/>
      <c r="BN10" s="165"/>
      <c r="BO10" s="165"/>
      <c r="BP10" s="165"/>
      <c r="BQ10" s="167"/>
    </row>
    <row r="11" spans="1:270" ht="39.950000000000003" customHeight="1" outlineLevel="1" x14ac:dyDescent="0.3">
      <c r="A11" s="11" t="s">
        <v>5</v>
      </c>
      <c r="B11" s="12" t="s">
        <v>1117</v>
      </c>
      <c r="C11" s="9" t="s">
        <v>30</v>
      </c>
      <c r="D11" s="66" t="s">
        <v>1163</v>
      </c>
      <c r="E11" s="158">
        <f t="shared" si="0"/>
        <v>30.036359999999998</v>
      </c>
      <c r="F11" s="159">
        <f t="shared" si="1"/>
        <v>11.69952</v>
      </c>
      <c r="G11" s="160">
        <f t="shared" si="2"/>
        <v>18.336839999999999</v>
      </c>
      <c r="H11" s="159"/>
      <c r="I11" s="160"/>
      <c r="J11" s="165"/>
      <c r="K11" s="165"/>
      <c r="L11" s="159">
        <v>11.69952</v>
      </c>
      <c r="M11" s="165">
        <v>18.336839999999999</v>
      </c>
      <c r="N11" s="165"/>
      <c r="O11" s="165"/>
      <c r="P11" s="160"/>
      <c r="Q11" s="166"/>
      <c r="R11" s="165"/>
      <c r="S11" s="165"/>
      <c r="T11" s="159"/>
      <c r="U11" s="160"/>
      <c r="V11" s="165"/>
      <c r="W11" s="165"/>
      <c r="X11" s="160"/>
      <c r="Y11" s="166"/>
      <c r="Z11" s="160"/>
      <c r="AA11" s="160"/>
      <c r="AB11" s="165"/>
      <c r="AC11" s="165"/>
      <c r="AD11" s="165"/>
      <c r="AE11" s="165"/>
      <c r="AF11" s="160"/>
      <c r="AG11" s="160"/>
      <c r="AH11" s="160"/>
      <c r="AI11" s="165"/>
      <c r="AJ11" s="165"/>
      <c r="AK11" s="162"/>
      <c r="AL11" s="165"/>
      <c r="AM11" s="166"/>
      <c r="AN11" s="165"/>
      <c r="AO11" s="165"/>
      <c r="AP11" s="166"/>
      <c r="AQ11" s="165"/>
      <c r="AR11" s="166"/>
      <c r="AS11" s="165"/>
      <c r="AT11" s="165"/>
      <c r="AU11" s="166"/>
      <c r="AV11" s="165"/>
      <c r="AW11" s="166"/>
      <c r="AX11" s="165"/>
      <c r="AY11" s="165"/>
      <c r="AZ11" s="165"/>
      <c r="BA11" s="165"/>
      <c r="BB11" s="166"/>
      <c r="BC11" s="165"/>
      <c r="BD11" s="165"/>
      <c r="BE11" s="165"/>
      <c r="BF11" s="165"/>
      <c r="BG11" s="165"/>
      <c r="BH11" s="165"/>
      <c r="BI11" s="165"/>
      <c r="BJ11" s="166"/>
      <c r="BK11" s="165"/>
      <c r="BL11" s="165"/>
      <c r="BM11" s="163"/>
      <c r="BN11" s="165"/>
      <c r="BO11" s="165"/>
      <c r="BP11" s="165"/>
      <c r="BQ11" s="167"/>
    </row>
    <row r="12" spans="1:270" ht="39.950000000000003" customHeight="1" outlineLevel="1" x14ac:dyDescent="0.3">
      <c r="A12" s="11" t="s">
        <v>5</v>
      </c>
      <c r="B12" s="12" t="s">
        <v>29</v>
      </c>
      <c r="C12" s="9" t="s">
        <v>30</v>
      </c>
      <c r="D12" s="66">
        <v>240102389404</v>
      </c>
      <c r="E12" s="158">
        <f t="shared" si="0"/>
        <v>128.17784</v>
      </c>
      <c r="F12" s="159">
        <f t="shared" si="1"/>
        <v>49.926780000000001</v>
      </c>
      <c r="G12" s="160">
        <f t="shared" si="2"/>
        <v>78.251059999999995</v>
      </c>
      <c r="H12" s="159"/>
      <c r="I12" s="160"/>
      <c r="J12" s="160"/>
      <c r="K12" s="160"/>
      <c r="L12" s="159">
        <v>49.926780000000001</v>
      </c>
      <c r="M12" s="160">
        <v>78.251059999999995</v>
      </c>
      <c r="N12" s="160"/>
      <c r="O12" s="160"/>
      <c r="P12" s="160"/>
      <c r="Q12" s="159"/>
      <c r="R12" s="160"/>
      <c r="S12" s="160"/>
      <c r="T12" s="159"/>
      <c r="U12" s="160"/>
      <c r="V12" s="160"/>
      <c r="W12" s="160"/>
      <c r="X12" s="160"/>
      <c r="Y12" s="159"/>
      <c r="Z12" s="160"/>
      <c r="AA12" s="160"/>
      <c r="AB12" s="160"/>
      <c r="AC12" s="160"/>
      <c r="AD12" s="160"/>
      <c r="AE12" s="160"/>
      <c r="AF12" s="160"/>
      <c r="AG12" s="160"/>
      <c r="AH12" s="160"/>
      <c r="AI12" s="160"/>
      <c r="AJ12" s="161"/>
      <c r="AK12" s="162"/>
      <c r="AL12" s="161"/>
      <c r="AM12" s="162"/>
      <c r="AN12" s="161"/>
      <c r="AO12" s="160"/>
      <c r="AP12" s="162"/>
      <c r="AQ12" s="161"/>
      <c r="AR12" s="162"/>
      <c r="AS12" s="161"/>
      <c r="AT12" s="161"/>
      <c r="AU12" s="162"/>
      <c r="AV12" s="161"/>
      <c r="AW12" s="159"/>
      <c r="AX12" s="160"/>
      <c r="AY12" s="160"/>
      <c r="AZ12" s="160"/>
      <c r="BA12" s="160"/>
      <c r="BB12" s="159"/>
      <c r="BC12" s="160"/>
      <c r="BD12" s="160"/>
      <c r="BE12" s="160"/>
      <c r="BF12" s="160"/>
      <c r="BG12" s="160"/>
      <c r="BH12" s="160"/>
      <c r="BI12" s="160"/>
      <c r="BJ12" s="162"/>
      <c r="BK12" s="161"/>
      <c r="BL12" s="161"/>
      <c r="BM12" s="163"/>
      <c r="BN12" s="161"/>
      <c r="BO12" s="161"/>
      <c r="BP12" s="161"/>
      <c r="BQ12" s="164"/>
    </row>
    <row r="13" spans="1:270" ht="39.950000000000003" customHeight="1" outlineLevel="1" x14ac:dyDescent="0.3">
      <c r="A13" s="11" t="s">
        <v>5</v>
      </c>
      <c r="B13" s="11" t="s">
        <v>33</v>
      </c>
      <c r="C13" s="9" t="s">
        <v>30</v>
      </c>
      <c r="D13" s="66">
        <v>240101591745</v>
      </c>
      <c r="E13" s="158">
        <f t="shared" si="0"/>
        <v>159.30024</v>
      </c>
      <c r="F13" s="159">
        <f t="shared" si="1"/>
        <v>38.992539999999998</v>
      </c>
      <c r="G13" s="160">
        <f t="shared" si="2"/>
        <v>120.3077</v>
      </c>
      <c r="H13" s="159"/>
      <c r="I13" s="160"/>
      <c r="J13" s="160"/>
      <c r="K13" s="160"/>
      <c r="L13" s="159">
        <v>38.992539999999998</v>
      </c>
      <c r="M13" s="160">
        <v>61.11365</v>
      </c>
      <c r="N13" s="160"/>
      <c r="O13" s="160"/>
      <c r="P13" s="160"/>
      <c r="Q13" s="159"/>
      <c r="R13" s="160"/>
      <c r="S13" s="160"/>
      <c r="T13" s="159"/>
      <c r="U13" s="160"/>
      <c r="V13" s="160"/>
      <c r="W13" s="160"/>
      <c r="X13" s="160"/>
      <c r="Y13" s="159"/>
      <c r="Z13" s="160"/>
      <c r="AA13" s="160"/>
      <c r="AB13" s="160"/>
      <c r="AC13" s="160"/>
      <c r="AD13" s="160"/>
      <c r="AE13" s="160"/>
      <c r="AF13" s="160"/>
      <c r="AG13" s="160"/>
      <c r="AH13" s="160"/>
      <c r="AI13" s="160"/>
      <c r="AJ13" s="161"/>
      <c r="AK13" s="162"/>
      <c r="AL13" s="161"/>
      <c r="AM13" s="162"/>
      <c r="AN13" s="161"/>
      <c r="AO13" s="160"/>
      <c r="AP13" s="162"/>
      <c r="AQ13" s="161"/>
      <c r="AR13" s="162"/>
      <c r="AS13" s="161"/>
      <c r="AT13" s="161"/>
      <c r="AU13" s="162"/>
      <c r="AV13" s="161"/>
      <c r="AW13" s="159"/>
      <c r="AX13" s="160"/>
      <c r="AY13" s="160"/>
      <c r="AZ13" s="160"/>
      <c r="BA13" s="160">
        <v>59.194049999999997</v>
      </c>
      <c r="BB13" s="159"/>
      <c r="BC13" s="160"/>
      <c r="BD13" s="160"/>
      <c r="BE13" s="160"/>
      <c r="BF13" s="160"/>
      <c r="BG13" s="160"/>
      <c r="BH13" s="160"/>
      <c r="BI13" s="160"/>
      <c r="BJ13" s="162"/>
      <c r="BK13" s="161"/>
      <c r="BL13" s="161"/>
      <c r="BM13" s="163"/>
      <c r="BN13" s="161"/>
      <c r="BO13" s="161"/>
      <c r="BP13" s="161"/>
      <c r="BQ13" s="164"/>
    </row>
    <row r="14" spans="1:270" ht="39.950000000000003" customHeight="1" outlineLevel="1" x14ac:dyDescent="0.3">
      <c r="A14" s="8" t="s">
        <v>5</v>
      </c>
      <c r="B14" s="8" t="s">
        <v>42</v>
      </c>
      <c r="C14" s="9" t="s">
        <v>30</v>
      </c>
      <c r="D14" s="66" t="s">
        <v>43</v>
      </c>
      <c r="E14" s="158">
        <f t="shared" si="0"/>
        <v>264.89035999999999</v>
      </c>
      <c r="F14" s="159">
        <f t="shared" si="1"/>
        <v>181.68853999999999</v>
      </c>
      <c r="G14" s="160">
        <f t="shared" si="2"/>
        <v>83.201819999999998</v>
      </c>
      <c r="H14" s="159">
        <v>163.34228999999999</v>
      </c>
      <c r="I14" s="160">
        <v>54.44744</v>
      </c>
      <c r="J14" s="165"/>
      <c r="K14" s="165"/>
      <c r="L14" s="159">
        <v>18.346250000000001</v>
      </c>
      <c r="M14" s="165">
        <v>28.754380000000001</v>
      </c>
      <c r="N14" s="165"/>
      <c r="O14" s="165"/>
      <c r="P14" s="160"/>
      <c r="Q14" s="166"/>
      <c r="R14" s="165"/>
      <c r="S14" s="165"/>
      <c r="T14" s="159"/>
      <c r="U14" s="160"/>
      <c r="V14" s="165"/>
      <c r="W14" s="165"/>
      <c r="X14" s="160"/>
      <c r="Y14" s="166"/>
      <c r="Z14" s="160"/>
      <c r="AA14" s="160"/>
      <c r="AB14" s="165"/>
      <c r="AC14" s="165"/>
      <c r="AD14" s="165"/>
      <c r="AE14" s="165"/>
      <c r="AF14" s="160"/>
      <c r="AG14" s="160"/>
      <c r="AH14" s="160"/>
      <c r="AI14" s="165"/>
      <c r="AJ14" s="161"/>
      <c r="AK14" s="162"/>
      <c r="AL14" s="165"/>
      <c r="AM14" s="166"/>
      <c r="AN14" s="165"/>
      <c r="AO14" s="165"/>
      <c r="AP14" s="162"/>
      <c r="AQ14" s="161"/>
      <c r="AR14" s="162"/>
      <c r="AS14" s="161"/>
      <c r="AT14" s="165"/>
      <c r="AU14" s="166"/>
      <c r="AV14" s="165"/>
      <c r="AW14" s="166"/>
      <c r="AX14" s="165"/>
      <c r="AY14" s="165"/>
      <c r="AZ14" s="165"/>
      <c r="BA14" s="165"/>
      <c r="BB14" s="166"/>
      <c r="BC14" s="165"/>
      <c r="BD14" s="165"/>
      <c r="BE14" s="165"/>
      <c r="BF14" s="165"/>
      <c r="BG14" s="165"/>
      <c r="BH14" s="165"/>
      <c r="BI14" s="165"/>
      <c r="BJ14" s="166"/>
      <c r="BK14" s="165"/>
      <c r="BL14" s="165"/>
      <c r="BM14" s="163"/>
      <c r="BN14" s="165"/>
      <c r="BO14" s="165"/>
      <c r="BP14" s="165"/>
      <c r="BQ14" s="167"/>
    </row>
    <row r="15" spans="1:270" ht="39.950000000000003" customHeight="1" outlineLevel="1" x14ac:dyDescent="0.3">
      <c r="A15" s="8" t="s">
        <v>5</v>
      </c>
      <c r="B15" s="8" t="s">
        <v>46</v>
      </c>
      <c r="C15" s="9" t="s">
        <v>30</v>
      </c>
      <c r="D15" s="68">
        <v>240101897250</v>
      </c>
      <c r="E15" s="158">
        <f t="shared" si="0"/>
        <v>78.152810000000002</v>
      </c>
      <c r="F15" s="159">
        <f t="shared" si="1"/>
        <v>30.44144</v>
      </c>
      <c r="G15" s="160">
        <f t="shared" si="2"/>
        <v>47.711370000000002</v>
      </c>
      <c r="H15" s="159"/>
      <c r="I15" s="160"/>
      <c r="J15" s="165"/>
      <c r="K15" s="165"/>
      <c r="L15" s="159">
        <v>30.44144</v>
      </c>
      <c r="M15" s="165">
        <v>47.711370000000002</v>
      </c>
      <c r="N15" s="165"/>
      <c r="O15" s="165"/>
      <c r="P15" s="160"/>
      <c r="Q15" s="166"/>
      <c r="R15" s="165"/>
      <c r="S15" s="165"/>
      <c r="T15" s="159"/>
      <c r="U15" s="160"/>
      <c r="V15" s="165"/>
      <c r="W15" s="165"/>
      <c r="X15" s="160"/>
      <c r="Y15" s="166"/>
      <c r="Z15" s="160"/>
      <c r="AA15" s="160"/>
      <c r="AB15" s="165"/>
      <c r="AC15" s="165"/>
      <c r="AD15" s="165"/>
      <c r="AE15" s="165"/>
      <c r="AF15" s="160"/>
      <c r="AG15" s="160"/>
      <c r="AH15" s="160"/>
      <c r="AI15" s="165"/>
      <c r="AJ15" s="161"/>
      <c r="AK15" s="162"/>
      <c r="AL15" s="165"/>
      <c r="AM15" s="166"/>
      <c r="AN15" s="165"/>
      <c r="AO15" s="165"/>
      <c r="AP15" s="162"/>
      <c r="AQ15" s="161"/>
      <c r="AR15" s="162"/>
      <c r="AS15" s="161"/>
      <c r="AT15" s="165"/>
      <c r="AU15" s="166"/>
      <c r="AV15" s="165"/>
      <c r="AW15" s="166"/>
      <c r="AX15" s="165"/>
      <c r="AY15" s="165"/>
      <c r="AZ15" s="165"/>
      <c r="BA15" s="165"/>
      <c r="BB15" s="166"/>
      <c r="BC15" s="165"/>
      <c r="BD15" s="165"/>
      <c r="BE15" s="165"/>
      <c r="BF15" s="165"/>
      <c r="BG15" s="165"/>
      <c r="BH15" s="165"/>
      <c r="BI15" s="165"/>
      <c r="BJ15" s="166"/>
      <c r="BK15" s="165"/>
      <c r="BL15" s="165"/>
      <c r="BM15" s="163"/>
      <c r="BN15" s="165"/>
      <c r="BO15" s="165"/>
      <c r="BP15" s="165"/>
      <c r="BQ15" s="167"/>
    </row>
    <row r="16" spans="1:270" ht="39.950000000000003" customHeight="1" outlineLevel="1" x14ac:dyDescent="0.3">
      <c r="A16" s="11" t="s">
        <v>5</v>
      </c>
      <c r="B16" s="10" t="s">
        <v>1363</v>
      </c>
      <c r="C16" s="9" t="s">
        <v>30</v>
      </c>
      <c r="D16" s="66">
        <v>240100024704</v>
      </c>
      <c r="E16" s="158">
        <f t="shared" si="0"/>
        <v>333.89476000000002</v>
      </c>
      <c r="F16" s="159">
        <f t="shared" si="1"/>
        <v>167.70903999999999</v>
      </c>
      <c r="G16" s="160">
        <f t="shared" si="2"/>
        <v>166.18572</v>
      </c>
      <c r="H16" s="159"/>
      <c r="I16" s="160"/>
      <c r="J16" s="160"/>
      <c r="K16" s="160"/>
      <c r="L16" s="159">
        <v>80.633899999999997</v>
      </c>
      <c r="M16" s="160">
        <v>126.37884</v>
      </c>
      <c r="N16" s="160"/>
      <c r="O16" s="160"/>
      <c r="P16" s="160"/>
      <c r="Q16" s="159"/>
      <c r="R16" s="160"/>
      <c r="S16" s="160"/>
      <c r="T16" s="159"/>
      <c r="U16" s="160"/>
      <c r="V16" s="160"/>
      <c r="W16" s="160"/>
      <c r="X16" s="160"/>
      <c r="Y16" s="159"/>
      <c r="Z16" s="160"/>
      <c r="AA16" s="160"/>
      <c r="AB16" s="160"/>
      <c r="AC16" s="160"/>
      <c r="AD16" s="160"/>
      <c r="AE16" s="160"/>
      <c r="AF16" s="160"/>
      <c r="AG16" s="160"/>
      <c r="AH16" s="160"/>
      <c r="AI16" s="160"/>
      <c r="AJ16" s="161"/>
      <c r="AK16" s="162"/>
      <c r="AL16" s="161"/>
      <c r="AM16" s="162"/>
      <c r="AN16" s="161"/>
      <c r="AO16" s="160"/>
      <c r="AP16" s="162"/>
      <c r="AQ16" s="161"/>
      <c r="AR16" s="162"/>
      <c r="AS16" s="161"/>
      <c r="AT16" s="161"/>
      <c r="AU16" s="162"/>
      <c r="AV16" s="161"/>
      <c r="AW16" s="159">
        <f>64.69102+22.38412</f>
        <v>87.07513999999999</v>
      </c>
      <c r="AX16" s="160">
        <f>13.02221+0.7752+19.3233+6.68617</f>
        <v>39.80688</v>
      </c>
      <c r="AY16" s="160"/>
      <c r="AZ16" s="160"/>
      <c r="BA16" s="160"/>
      <c r="BB16" s="159"/>
      <c r="BC16" s="160"/>
      <c r="BD16" s="160"/>
      <c r="BE16" s="160"/>
      <c r="BF16" s="160"/>
      <c r="BG16" s="160"/>
      <c r="BH16" s="160"/>
      <c r="BI16" s="160"/>
      <c r="BJ16" s="162"/>
      <c r="BK16" s="161"/>
      <c r="BL16" s="161"/>
      <c r="BM16" s="163"/>
      <c r="BN16" s="161"/>
      <c r="BO16" s="161"/>
      <c r="BP16" s="161"/>
      <c r="BQ16" s="164"/>
    </row>
    <row r="17" spans="1:270" ht="39.950000000000003" customHeight="1" outlineLevel="1" x14ac:dyDescent="0.3">
      <c r="A17" s="11" t="s">
        <v>5</v>
      </c>
      <c r="B17" s="12" t="s">
        <v>31</v>
      </c>
      <c r="C17" s="9" t="s">
        <v>30</v>
      </c>
      <c r="D17" s="66">
        <v>246208874176</v>
      </c>
      <c r="E17" s="158">
        <f t="shared" si="0"/>
        <v>204.29088000000002</v>
      </c>
      <c r="F17" s="159">
        <f t="shared" si="1"/>
        <v>79.573700000000002</v>
      </c>
      <c r="G17" s="160">
        <f t="shared" si="2"/>
        <v>124.71718</v>
      </c>
      <c r="H17" s="159"/>
      <c r="I17" s="160"/>
      <c r="J17" s="160"/>
      <c r="K17" s="160"/>
      <c r="L17" s="159">
        <v>79.573700000000002</v>
      </c>
      <c r="M17" s="160">
        <v>124.71718</v>
      </c>
      <c r="N17" s="160"/>
      <c r="O17" s="160"/>
      <c r="P17" s="160"/>
      <c r="Q17" s="159"/>
      <c r="R17" s="160"/>
      <c r="S17" s="160"/>
      <c r="T17" s="159"/>
      <c r="U17" s="160"/>
      <c r="V17" s="160"/>
      <c r="W17" s="160"/>
      <c r="X17" s="160"/>
      <c r="Y17" s="159"/>
      <c r="Z17" s="160"/>
      <c r="AA17" s="160"/>
      <c r="AB17" s="160"/>
      <c r="AC17" s="160"/>
      <c r="AD17" s="160"/>
      <c r="AE17" s="160"/>
      <c r="AF17" s="160"/>
      <c r="AG17" s="160"/>
      <c r="AH17" s="160"/>
      <c r="AI17" s="160"/>
      <c r="AJ17" s="161"/>
      <c r="AK17" s="162"/>
      <c r="AL17" s="161"/>
      <c r="AM17" s="162"/>
      <c r="AN17" s="161"/>
      <c r="AO17" s="160"/>
      <c r="AP17" s="162"/>
      <c r="AQ17" s="161"/>
      <c r="AR17" s="162"/>
      <c r="AS17" s="161"/>
      <c r="AT17" s="161"/>
      <c r="AU17" s="162"/>
      <c r="AV17" s="161"/>
      <c r="AW17" s="159"/>
      <c r="AX17" s="160"/>
      <c r="AY17" s="160"/>
      <c r="AZ17" s="160"/>
      <c r="BA17" s="160"/>
      <c r="BB17" s="159"/>
      <c r="BC17" s="160"/>
      <c r="BD17" s="160"/>
      <c r="BE17" s="160"/>
      <c r="BF17" s="160"/>
      <c r="BG17" s="160"/>
      <c r="BH17" s="160"/>
      <c r="BI17" s="160"/>
      <c r="BJ17" s="162"/>
      <c r="BK17" s="161"/>
      <c r="BL17" s="161"/>
      <c r="BM17" s="163"/>
      <c r="BN17" s="161"/>
      <c r="BO17" s="161"/>
      <c r="BP17" s="161"/>
      <c r="BQ17" s="164"/>
    </row>
    <row r="18" spans="1:270" ht="39.950000000000003" customHeight="1" outlineLevel="1" x14ac:dyDescent="0.3">
      <c r="A18" s="11" t="s">
        <v>5</v>
      </c>
      <c r="B18" s="11" t="s">
        <v>34</v>
      </c>
      <c r="C18" s="9" t="s">
        <v>30</v>
      </c>
      <c r="D18" s="66">
        <v>240100999838</v>
      </c>
      <c r="E18" s="158">
        <f t="shared" si="0"/>
        <v>1001.13252</v>
      </c>
      <c r="F18" s="159">
        <f t="shared" si="1"/>
        <v>150.13829000000001</v>
      </c>
      <c r="G18" s="160">
        <f t="shared" si="2"/>
        <v>850.99423000000002</v>
      </c>
      <c r="H18" s="159"/>
      <c r="I18" s="160"/>
      <c r="J18" s="160"/>
      <c r="K18" s="160"/>
      <c r="L18" s="159">
        <v>150.13829000000001</v>
      </c>
      <c r="M18" s="160">
        <v>235.31423000000001</v>
      </c>
      <c r="N18" s="160"/>
      <c r="O18" s="160"/>
      <c r="P18" s="160"/>
      <c r="Q18" s="159"/>
      <c r="R18" s="160"/>
      <c r="S18" s="160"/>
      <c r="T18" s="159"/>
      <c r="U18" s="160"/>
      <c r="V18" s="160"/>
      <c r="W18" s="160">
        <v>615.67999999999995</v>
      </c>
      <c r="X18" s="160"/>
      <c r="Y18" s="159"/>
      <c r="Z18" s="160"/>
      <c r="AA18" s="160"/>
      <c r="AB18" s="160"/>
      <c r="AC18" s="160"/>
      <c r="AD18" s="160"/>
      <c r="AE18" s="160"/>
      <c r="AF18" s="160"/>
      <c r="AG18" s="160"/>
      <c r="AH18" s="160"/>
      <c r="AI18" s="160"/>
      <c r="AJ18" s="161"/>
      <c r="AK18" s="162"/>
      <c r="AL18" s="161"/>
      <c r="AM18" s="162"/>
      <c r="AN18" s="161"/>
      <c r="AO18" s="160"/>
      <c r="AP18" s="162"/>
      <c r="AQ18" s="161"/>
      <c r="AR18" s="162"/>
      <c r="AS18" s="161"/>
      <c r="AT18" s="161"/>
      <c r="AU18" s="162"/>
      <c r="AV18" s="161"/>
      <c r="AW18" s="159"/>
      <c r="AX18" s="165"/>
      <c r="AY18" s="165"/>
      <c r="AZ18" s="160"/>
      <c r="BA18" s="160"/>
      <c r="BB18" s="159"/>
      <c r="BC18" s="160"/>
      <c r="BD18" s="160"/>
      <c r="BE18" s="160"/>
      <c r="BF18" s="160"/>
      <c r="BG18" s="160"/>
      <c r="BH18" s="160"/>
      <c r="BI18" s="160"/>
      <c r="BJ18" s="162"/>
      <c r="BK18" s="161"/>
      <c r="BL18" s="161"/>
      <c r="BM18" s="163"/>
      <c r="BN18" s="161"/>
      <c r="BO18" s="161"/>
      <c r="BP18" s="161"/>
      <c r="BQ18" s="164"/>
    </row>
    <row r="19" spans="1:270" ht="39.950000000000003" customHeight="1" outlineLevel="1" x14ac:dyDescent="0.3">
      <c r="A19" s="11" t="s">
        <v>5</v>
      </c>
      <c r="B19" s="11" t="s">
        <v>35</v>
      </c>
      <c r="C19" s="9" t="s">
        <v>30</v>
      </c>
      <c r="D19" s="66" t="s">
        <v>36</v>
      </c>
      <c r="E19" s="158">
        <f t="shared" si="0"/>
        <v>100.33787000000001</v>
      </c>
      <c r="F19" s="159">
        <f t="shared" si="1"/>
        <v>39.08278</v>
      </c>
      <c r="G19" s="160">
        <f t="shared" si="2"/>
        <v>61.255090000000003</v>
      </c>
      <c r="H19" s="159"/>
      <c r="I19" s="160"/>
      <c r="J19" s="165"/>
      <c r="K19" s="165"/>
      <c r="L19" s="159">
        <v>39.08278</v>
      </c>
      <c r="M19" s="165">
        <v>61.255090000000003</v>
      </c>
      <c r="N19" s="165"/>
      <c r="O19" s="165"/>
      <c r="P19" s="160"/>
      <c r="Q19" s="166"/>
      <c r="R19" s="165"/>
      <c r="S19" s="165"/>
      <c r="T19" s="159"/>
      <c r="U19" s="160"/>
      <c r="V19" s="165"/>
      <c r="W19" s="165"/>
      <c r="X19" s="160"/>
      <c r="Y19" s="166"/>
      <c r="Z19" s="160"/>
      <c r="AA19" s="160"/>
      <c r="AB19" s="165"/>
      <c r="AC19" s="165"/>
      <c r="AD19" s="165"/>
      <c r="AE19" s="165"/>
      <c r="AF19" s="160"/>
      <c r="AG19" s="160"/>
      <c r="AH19" s="160"/>
      <c r="AI19" s="165"/>
      <c r="AJ19" s="161"/>
      <c r="AK19" s="162"/>
      <c r="AL19" s="161"/>
      <c r="AM19" s="162"/>
      <c r="AN19" s="161"/>
      <c r="AO19" s="165"/>
      <c r="AP19" s="162"/>
      <c r="AQ19" s="161"/>
      <c r="AR19" s="162"/>
      <c r="AS19" s="161"/>
      <c r="AT19" s="165"/>
      <c r="AU19" s="166"/>
      <c r="AV19" s="165"/>
      <c r="AW19" s="166"/>
      <c r="AX19" s="165"/>
      <c r="AY19" s="165"/>
      <c r="AZ19" s="165"/>
      <c r="BA19" s="165"/>
      <c r="BB19" s="166"/>
      <c r="BC19" s="165"/>
      <c r="BD19" s="165"/>
      <c r="BE19" s="165"/>
      <c r="BF19" s="165"/>
      <c r="BG19" s="165"/>
      <c r="BH19" s="165"/>
      <c r="BI19" s="165"/>
      <c r="BJ19" s="166"/>
      <c r="BK19" s="165"/>
      <c r="BL19" s="165"/>
      <c r="BM19" s="163"/>
      <c r="BN19" s="165"/>
      <c r="BO19" s="165"/>
      <c r="BP19" s="165"/>
      <c r="BQ19" s="167"/>
    </row>
    <row r="20" spans="1:270" s="7" customFormat="1" ht="39.950000000000003" customHeight="1" outlineLevel="1" x14ac:dyDescent="0.3">
      <c r="A20" s="8" t="s">
        <v>5</v>
      </c>
      <c r="B20" s="12" t="s">
        <v>62</v>
      </c>
      <c r="C20" s="9" t="s">
        <v>30</v>
      </c>
      <c r="D20" s="66">
        <v>240101000752</v>
      </c>
      <c r="E20" s="158">
        <f t="shared" si="0"/>
        <v>40.666319999999999</v>
      </c>
      <c r="F20" s="159">
        <f t="shared" si="1"/>
        <v>15.840009999999999</v>
      </c>
      <c r="G20" s="160">
        <f t="shared" si="2"/>
        <v>24.826309999999999</v>
      </c>
      <c r="H20" s="159"/>
      <c r="I20" s="160"/>
      <c r="J20" s="165"/>
      <c r="K20" s="165"/>
      <c r="L20" s="159">
        <v>15.840009999999999</v>
      </c>
      <c r="M20" s="165">
        <v>24.826309999999999</v>
      </c>
      <c r="N20" s="165"/>
      <c r="O20" s="165"/>
      <c r="P20" s="160"/>
      <c r="Q20" s="166"/>
      <c r="R20" s="165"/>
      <c r="S20" s="165"/>
      <c r="T20" s="159"/>
      <c r="U20" s="160"/>
      <c r="V20" s="165"/>
      <c r="W20" s="165"/>
      <c r="X20" s="160"/>
      <c r="Y20" s="166"/>
      <c r="Z20" s="160"/>
      <c r="AA20" s="160"/>
      <c r="AB20" s="165"/>
      <c r="AC20" s="165"/>
      <c r="AD20" s="165"/>
      <c r="AE20" s="165"/>
      <c r="AF20" s="160"/>
      <c r="AG20" s="160"/>
      <c r="AH20" s="160"/>
      <c r="AI20" s="165"/>
      <c r="AJ20" s="165"/>
      <c r="AK20" s="162"/>
      <c r="AL20" s="165"/>
      <c r="AM20" s="166"/>
      <c r="AN20" s="165"/>
      <c r="AO20" s="165"/>
      <c r="AP20" s="166"/>
      <c r="AQ20" s="165"/>
      <c r="AR20" s="166"/>
      <c r="AS20" s="165"/>
      <c r="AT20" s="165"/>
      <c r="AU20" s="166"/>
      <c r="AV20" s="165"/>
      <c r="AW20" s="166"/>
      <c r="AX20" s="165"/>
      <c r="AY20" s="165"/>
      <c r="AZ20" s="165"/>
      <c r="BA20" s="165"/>
      <c r="BB20" s="166"/>
      <c r="BC20" s="165"/>
      <c r="BD20" s="165"/>
      <c r="BE20" s="165"/>
      <c r="BF20" s="165"/>
      <c r="BG20" s="165"/>
      <c r="BH20" s="165"/>
      <c r="BI20" s="165"/>
      <c r="BJ20" s="166"/>
      <c r="BK20" s="165"/>
      <c r="BL20" s="165"/>
      <c r="BM20" s="168"/>
      <c r="BN20" s="165"/>
      <c r="BO20" s="165"/>
      <c r="BP20" s="165"/>
      <c r="BQ20" s="167"/>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c r="IR20" s="52"/>
      <c r="IS20" s="52"/>
      <c r="IT20" s="52"/>
      <c r="IU20" s="52"/>
      <c r="IV20" s="52"/>
      <c r="IW20" s="52"/>
      <c r="IX20" s="52"/>
      <c r="IY20" s="52"/>
      <c r="IZ20" s="52"/>
      <c r="JA20" s="52"/>
      <c r="JB20" s="52"/>
      <c r="JC20" s="52"/>
      <c r="JD20" s="52"/>
      <c r="JE20" s="52"/>
      <c r="JF20" s="52"/>
      <c r="JG20" s="52"/>
      <c r="JH20" s="52"/>
      <c r="JI20" s="52"/>
      <c r="JJ20" s="52"/>
    </row>
    <row r="21" spans="1:270" s="7" customFormat="1" ht="39.950000000000003" customHeight="1" outlineLevel="1" x14ac:dyDescent="0.3">
      <c r="A21" s="11" t="s">
        <v>5</v>
      </c>
      <c r="B21" s="11" t="s">
        <v>1437</v>
      </c>
      <c r="C21" s="9" t="s">
        <v>30</v>
      </c>
      <c r="D21" s="68" t="s">
        <v>37</v>
      </c>
      <c r="E21" s="158">
        <f t="shared" si="0"/>
        <v>160.79302999999999</v>
      </c>
      <c r="F21" s="159">
        <f t="shared" si="1"/>
        <v>102.18952999999999</v>
      </c>
      <c r="G21" s="160">
        <f t="shared" si="2"/>
        <v>58.603500000000004</v>
      </c>
      <c r="H21" s="159">
        <v>93.297489999999996</v>
      </c>
      <c r="I21" s="160">
        <v>31.099160000000001</v>
      </c>
      <c r="J21" s="165"/>
      <c r="K21" s="165"/>
      <c r="L21" s="159">
        <v>8.8920399999999997</v>
      </c>
      <c r="M21" s="165">
        <v>13.936640000000001</v>
      </c>
      <c r="N21" s="165"/>
      <c r="O21" s="165"/>
      <c r="P21" s="160"/>
      <c r="Q21" s="166"/>
      <c r="R21" s="165"/>
      <c r="S21" s="165"/>
      <c r="T21" s="159"/>
      <c r="U21" s="160"/>
      <c r="V21" s="165"/>
      <c r="W21" s="165"/>
      <c r="X21" s="160"/>
      <c r="Y21" s="166"/>
      <c r="Z21" s="160"/>
      <c r="AA21" s="160">
        <v>13.5677</v>
      </c>
      <c r="AB21" s="165"/>
      <c r="AC21" s="165"/>
      <c r="AD21" s="165"/>
      <c r="AE21" s="165"/>
      <c r="AF21" s="160"/>
      <c r="AG21" s="160"/>
      <c r="AH21" s="160"/>
      <c r="AI21" s="165"/>
      <c r="AJ21" s="161"/>
      <c r="AK21" s="162"/>
      <c r="AL21" s="161"/>
      <c r="AM21" s="162"/>
      <c r="AN21" s="161"/>
      <c r="AO21" s="165"/>
      <c r="AP21" s="162"/>
      <c r="AQ21" s="161"/>
      <c r="AR21" s="162"/>
      <c r="AS21" s="161"/>
      <c r="AT21" s="165"/>
      <c r="AU21" s="166"/>
      <c r="AV21" s="165"/>
      <c r="AW21" s="166"/>
      <c r="AX21" s="165"/>
      <c r="AY21" s="165"/>
      <c r="AZ21" s="165"/>
      <c r="BA21" s="165"/>
      <c r="BB21" s="166"/>
      <c r="BC21" s="165"/>
      <c r="BD21" s="165"/>
      <c r="BE21" s="165"/>
      <c r="BF21" s="165"/>
      <c r="BG21" s="165"/>
      <c r="BH21" s="165"/>
      <c r="BI21" s="165"/>
      <c r="BJ21" s="166"/>
      <c r="BK21" s="165"/>
      <c r="BL21" s="165"/>
      <c r="BM21" s="168"/>
      <c r="BN21" s="165"/>
      <c r="BO21" s="165"/>
      <c r="BP21" s="165"/>
      <c r="BQ21" s="167"/>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c r="IV21" s="52"/>
      <c r="IW21" s="52"/>
      <c r="IX21" s="52"/>
      <c r="IY21" s="52"/>
      <c r="IZ21" s="52"/>
      <c r="JA21" s="52"/>
      <c r="JB21" s="52"/>
      <c r="JC21" s="52"/>
      <c r="JD21" s="52"/>
      <c r="JE21" s="52"/>
      <c r="JF21" s="52"/>
      <c r="JG21" s="52"/>
      <c r="JH21" s="52"/>
      <c r="JI21" s="52"/>
      <c r="JJ21" s="52"/>
    </row>
    <row r="22" spans="1:270" s="7" customFormat="1" ht="39.950000000000003" customHeight="1" outlineLevel="1" x14ac:dyDescent="0.3">
      <c r="A22" s="11" t="s">
        <v>5</v>
      </c>
      <c r="B22" s="11" t="s">
        <v>38</v>
      </c>
      <c r="C22" s="9" t="s">
        <v>30</v>
      </c>
      <c r="D22" s="67">
        <v>240101408005</v>
      </c>
      <c r="E22" s="158">
        <f t="shared" si="0"/>
        <v>198.69794999999999</v>
      </c>
      <c r="F22" s="159">
        <f t="shared" si="1"/>
        <v>77.395189999999999</v>
      </c>
      <c r="G22" s="160">
        <f t="shared" si="2"/>
        <v>121.30276000000001</v>
      </c>
      <c r="H22" s="159"/>
      <c r="I22" s="160"/>
      <c r="J22" s="160"/>
      <c r="K22" s="160"/>
      <c r="L22" s="159">
        <v>77.395189999999999</v>
      </c>
      <c r="M22" s="160">
        <v>121.30276000000001</v>
      </c>
      <c r="N22" s="160"/>
      <c r="O22" s="160"/>
      <c r="P22" s="160"/>
      <c r="Q22" s="159"/>
      <c r="R22" s="160"/>
      <c r="S22" s="160"/>
      <c r="T22" s="159"/>
      <c r="U22" s="160"/>
      <c r="V22" s="160"/>
      <c r="W22" s="160"/>
      <c r="X22" s="160"/>
      <c r="Y22" s="159"/>
      <c r="Z22" s="160"/>
      <c r="AA22" s="160"/>
      <c r="AB22" s="160"/>
      <c r="AC22" s="160"/>
      <c r="AD22" s="160"/>
      <c r="AE22" s="160"/>
      <c r="AF22" s="160"/>
      <c r="AG22" s="160"/>
      <c r="AH22" s="160"/>
      <c r="AI22" s="160"/>
      <c r="AJ22" s="161"/>
      <c r="AK22" s="162"/>
      <c r="AL22" s="161"/>
      <c r="AM22" s="162"/>
      <c r="AN22" s="161"/>
      <c r="AO22" s="160"/>
      <c r="AP22" s="162"/>
      <c r="AQ22" s="161"/>
      <c r="AR22" s="162"/>
      <c r="AS22" s="161"/>
      <c r="AT22" s="161"/>
      <c r="AU22" s="162"/>
      <c r="AV22" s="161"/>
      <c r="AW22" s="159"/>
      <c r="AX22" s="160"/>
      <c r="AY22" s="160"/>
      <c r="AZ22" s="160"/>
      <c r="BA22" s="160"/>
      <c r="BB22" s="159"/>
      <c r="BC22" s="160"/>
      <c r="BD22" s="160"/>
      <c r="BE22" s="160"/>
      <c r="BF22" s="160"/>
      <c r="BG22" s="160"/>
      <c r="BH22" s="160"/>
      <c r="BI22" s="160"/>
      <c r="BJ22" s="162"/>
      <c r="BK22" s="161"/>
      <c r="BL22" s="161"/>
      <c r="BM22" s="168"/>
      <c r="BN22" s="161"/>
      <c r="BO22" s="160"/>
      <c r="BP22" s="160"/>
      <c r="BQ22" s="169"/>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c r="IR22" s="52"/>
      <c r="IS22" s="52"/>
      <c r="IT22" s="52"/>
      <c r="IU22" s="52"/>
      <c r="IV22" s="52"/>
      <c r="IW22" s="52"/>
      <c r="IX22" s="52"/>
      <c r="IY22" s="52"/>
      <c r="IZ22" s="52"/>
      <c r="JA22" s="52"/>
      <c r="JB22" s="52"/>
      <c r="JC22" s="52"/>
      <c r="JD22" s="52"/>
      <c r="JE22" s="52"/>
      <c r="JF22" s="52"/>
      <c r="JG22" s="52"/>
      <c r="JH22" s="52"/>
      <c r="JI22" s="52"/>
      <c r="JJ22" s="52"/>
    </row>
    <row r="23" spans="1:270" s="7" customFormat="1" ht="39.950000000000003" customHeight="1" outlineLevel="1" x14ac:dyDescent="0.3">
      <c r="A23" s="11" t="s">
        <v>5</v>
      </c>
      <c r="B23" s="11" t="s">
        <v>39</v>
      </c>
      <c r="C23" s="9" t="s">
        <v>30</v>
      </c>
      <c r="D23" s="66">
        <v>240102234471</v>
      </c>
      <c r="E23" s="158">
        <f t="shared" si="0"/>
        <v>217.33738</v>
      </c>
      <c r="F23" s="159">
        <f t="shared" si="1"/>
        <v>120.07525000000001</v>
      </c>
      <c r="G23" s="160">
        <f t="shared" si="2"/>
        <v>97.262129999999999</v>
      </c>
      <c r="H23" s="159"/>
      <c r="I23" s="160"/>
      <c r="J23" s="160"/>
      <c r="K23" s="160"/>
      <c r="L23" s="159">
        <v>34.876719999999999</v>
      </c>
      <c r="M23" s="160">
        <v>54.662849999999999</v>
      </c>
      <c r="N23" s="160"/>
      <c r="O23" s="160"/>
      <c r="P23" s="160"/>
      <c r="Q23" s="159"/>
      <c r="R23" s="160"/>
      <c r="S23" s="160"/>
      <c r="T23" s="159"/>
      <c r="U23" s="160"/>
      <c r="V23" s="160"/>
      <c r="W23" s="160"/>
      <c r="X23" s="160"/>
      <c r="Y23" s="159"/>
      <c r="Z23" s="160"/>
      <c r="AA23" s="160"/>
      <c r="AB23" s="160"/>
      <c r="AC23" s="160"/>
      <c r="AD23" s="160"/>
      <c r="AE23" s="160"/>
      <c r="AF23" s="160"/>
      <c r="AG23" s="160"/>
      <c r="AH23" s="160"/>
      <c r="AI23" s="160"/>
      <c r="AJ23" s="161"/>
      <c r="AK23" s="162"/>
      <c r="AL23" s="161"/>
      <c r="AM23" s="162"/>
      <c r="AN23" s="161"/>
      <c r="AO23" s="160"/>
      <c r="AP23" s="162"/>
      <c r="AQ23" s="161"/>
      <c r="AR23" s="162"/>
      <c r="AS23" s="161"/>
      <c r="AT23" s="161"/>
      <c r="AU23" s="162"/>
      <c r="AV23" s="161"/>
      <c r="AW23" s="159">
        <v>85.198530000000005</v>
      </c>
      <c r="AX23" s="160">
        <f>17.15037+25.44891</f>
        <v>42.59928</v>
      </c>
      <c r="AY23" s="160"/>
      <c r="AZ23" s="160"/>
      <c r="BA23" s="160"/>
      <c r="BB23" s="159"/>
      <c r="BC23" s="160"/>
      <c r="BD23" s="160"/>
      <c r="BE23" s="160"/>
      <c r="BF23" s="160"/>
      <c r="BG23" s="160"/>
      <c r="BH23" s="160"/>
      <c r="BI23" s="160"/>
      <c r="BJ23" s="162"/>
      <c r="BK23" s="161"/>
      <c r="BL23" s="161"/>
      <c r="BM23" s="168"/>
      <c r="BN23" s="161"/>
      <c r="BO23" s="161"/>
      <c r="BP23" s="161"/>
      <c r="BQ23" s="164"/>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c r="IQ23" s="52"/>
      <c r="IR23" s="52"/>
      <c r="IS23" s="52"/>
      <c r="IT23" s="52"/>
      <c r="IU23" s="52"/>
      <c r="IV23" s="52"/>
      <c r="IW23" s="52"/>
      <c r="IX23" s="52"/>
      <c r="IY23" s="52"/>
      <c r="IZ23" s="52"/>
      <c r="JA23" s="52"/>
      <c r="JB23" s="52"/>
      <c r="JC23" s="52"/>
      <c r="JD23" s="52"/>
      <c r="JE23" s="52"/>
      <c r="JF23" s="52"/>
      <c r="JG23" s="52"/>
      <c r="JH23" s="52"/>
      <c r="JI23" s="52"/>
      <c r="JJ23" s="52"/>
    </row>
    <row r="24" spans="1:270" s="7" customFormat="1" ht="39.950000000000003" customHeight="1" outlineLevel="1" x14ac:dyDescent="0.3">
      <c r="A24" s="11" t="s">
        <v>5</v>
      </c>
      <c r="B24" s="11" t="s">
        <v>40</v>
      </c>
      <c r="C24" s="9" t="s">
        <v>30</v>
      </c>
      <c r="D24" s="66" t="s">
        <v>41</v>
      </c>
      <c r="E24" s="158">
        <f t="shared" si="0"/>
        <v>5182.8392599999997</v>
      </c>
      <c r="F24" s="159">
        <f t="shared" si="1"/>
        <v>100.48617</v>
      </c>
      <c r="G24" s="160">
        <f t="shared" si="2"/>
        <v>5082.3530899999996</v>
      </c>
      <c r="H24" s="159"/>
      <c r="I24" s="160"/>
      <c r="J24" s="165"/>
      <c r="K24" s="165"/>
      <c r="L24" s="159">
        <f>19.44826+81.03791</f>
        <v>100.48617</v>
      </c>
      <c r="M24" s="165">
        <f>30.48157+127.01205</f>
        <v>157.49361999999999</v>
      </c>
      <c r="N24" s="165"/>
      <c r="O24" s="165"/>
      <c r="P24" s="160"/>
      <c r="Q24" s="166"/>
      <c r="R24" s="165"/>
      <c r="S24" s="165"/>
      <c r="T24" s="159"/>
      <c r="U24" s="160"/>
      <c r="V24" s="165"/>
      <c r="W24" s="165"/>
      <c r="X24" s="160"/>
      <c r="Y24" s="166"/>
      <c r="Z24" s="160"/>
      <c r="AA24" s="160"/>
      <c r="AB24" s="165"/>
      <c r="AC24" s="165"/>
      <c r="AD24" s="165"/>
      <c r="AE24" s="165"/>
      <c r="AF24" s="160"/>
      <c r="AG24" s="160"/>
      <c r="AH24" s="160"/>
      <c r="AI24" s="165"/>
      <c r="AJ24" s="161"/>
      <c r="AK24" s="162"/>
      <c r="AL24" s="165"/>
      <c r="AM24" s="166"/>
      <c r="AN24" s="165"/>
      <c r="AO24" s="165"/>
      <c r="AP24" s="162"/>
      <c r="AQ24" s="161"/>
      <c r="AR24" s="162"/>
      <c r="AS24" s="161"/>
      <c r="AT24" s="165"/>
      <c r="AU24" s="166"/>
      <c r="AV24" s="165"/>
      <c r="AW24" s="166"/>
      <c r="AX24" s="165"/>
      <c r="AY24" s="165"/>
      <c r="AZ24" s="165"/>
      <c r="BA24" s="165"/>
      <c r="BB24" s="166"/>
      <c r="BC24" s="165"/>
      <c r="BD24" s="165"/>
      <c r="BE24" s="165"/>
      <c r="BF24" s="165"/>
      <c r="BG24" s="165"/>
      <c r="BH24" s="165">
        <v>4591.9674699999996</v>
      </c>
      <c r="BI24" s="165"/>
      <c r="BJ24" s="166"/>
      <c r="BK24" s="165"/>
      <c r="BL24" s="165"/>
      <c r="BM24" s="168"/>
      <c r="BN24" s="165"/>
      <c r="BO24" s="165">
        <v>332.892</v>
      </c>
      <c r="BP24" s="165"/>
      <c r="BQ24" s="167"/>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c r="IQ24" s="52"/>
      <c r="IR24" s="52"/>
      <c r="IS24" s="52"/>
      <c r="IT24" s="52"/>
      <c r="IU24" s="52"/>
      <c r="IV24" s="52"/>
      <c r="IW24" s="52"/>
      <c r="IX24" s="52"/>
      <c r="IY24" s="52"/>
      <c r="IZ24" s="52"/>
      <c r="JA24" s="52"/>
      <c r="JB24" s="52"/>
      <c r="JC24" s="52"/>
      <c r="JD24" s="52"/>
      <c r="JE24" s="52"/>
      <c r="JF24" s="52"/>
      <c r="JG24" s="52"/>
      <c r="JH24" s="52"/>
      <c r="JI24" s="52"/>
      <c r="JJ24" s="52"/>
    </row>
    <row r="25" spans="1:270" s="7" customFormat="1" ht="39.950000000000003" customHeight="1" outlineLevel="1" x14ac:dyDescent="0.3">
      <c r="A25" s="8" t="s">
        <v>5</v>
      </c>
      <c r="B25" s="8" t="s">
        <v>47</v>
      </c>
      <c r="C25" s="9" t="s">
        <v>30</v>
      </c>
      <c r="D25" s="68" t="s">
        <v>48</v>
      </c>
      <c r="E25" s="158">
        <f t="shared" si="0"/>
        <v>222.55059</v>
      </c>
      <c r="F25" s="159">
        <f t="shared" si="1"/>
        <v>86.686070000000001</v>
      </c>
      <c r="G25" s="160">
        <f t="shared" si="2"/>
        <v>135.86452</v>
      </c>
      <c r="H25" s="159"/>
      <c r="I25" s="160"/>
      <c r="J25" s="165"/>
      <c r="K25" s="165"/>
      <c r="L25" s="166">
        <f>37.34754+49.33853</f>
        <v>86.686070000000001</v>
      </c>
      <c r="M25" s="165">
        <f>58.53542+77.3291</f>
        <v>135.86452</v>
      </c>
      <c r="N25" s="165"/>
      <c r="O25" s="165"/>
      <c r="P25" s="160"/>
      <c r="Q25" s="166"/>
      <c r="R25" s="165"/>
      <c r="S25" s="165"/>
      <c r="T25" s="159"/>
      <c r="U25" s="160"/>
      <c r="V25" s="165"/>
      <c r="W25" s="165"/>
      <c r="X25" s="160"/>
      <c r="Y25" s="166"/>
      <c r="Z25" s="160"/>
      <c r="AA25" s="160"/>
      <c r="AB25" s="165"/>
      <c r="AC25" s="165"/>
      <c r="AD25" s="165"/>
      <c r="AE25" s="165"/>
      <c r="AF25" s="160"/>
      <c r="AG25" s="160"/>
      <c r="AH25" s="160"/>
      <c r="AI25" s="165"/>
      <c r="AJ25" s="161"/>
      <c r="AK25" s="162"/>
      <c r="AL25" s="165"/>
      <c r="AM25" s="166"/>
      <c r="AN25" s="165"/>
      <c r="AO25" s="165"/>
      <c r="AP25" s="162"/>
      <c r="AQ25" s="161"/>
      <c r="AR25" s="162"/>
      <c r="AS25" s="161"/>
      <c r="AT25" s="165"/>
      <c r="AU25" s="166"/>
      <c r="AV25" s="165"/>
      <c r="AW25" s="166"/>
      <c r="AX25" s="165"/>
      <c r="AY25" s="165"/>
      <c r="AZ25" s="165"/>
      <c r="BA25" s="165"/>
      <c r="BB25" s="166"/>
      <c r="BC25" s="165"/>
      <c r="BD25" s="165"/>
      <c r="BE25" s="165"/>
      <c r="BF25" s="165"/>
      <c r="BG25" s="165"/>
      <c r="BH25" s="165"/>
      <c r="BI25" s="165"/>
      <c r="BJ25" s="166"/>
      <c r="BK25" s="165"/>
      <c r="BL25" s="165"/>
      <c r="BM25" s="168"/>
      <c r="BN25" s="165"/>
      <c r="BO25" s="165"/>
      <c r="BP25" s="165"/>
      <c r="BQ25" s="167"/>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c r="IR25" s="52"/>
      <c r="IS25" s="52"/>
      <c r="IT25" s="52"/>
      <c r="IU25" s="52"/>
      <c r="IV25" s="52"/>
      <c r="IW25" s="52"/>
      <c r="IX25" s="52"/>
      <c r="IY25" s="52"/>
      <c r="IZ25" s="52"/>
      <c r="JA25" s="52"/>
      <c r="JB25" s="52"/>
      <c r="JC25" s="52"/>
      <c r="JD25" s="52"/>
      <c r="JE25" s="52"/>
      <c r="JF25" s="52"/>
      <c r="JG25" s="52"/>
      <c r="JH25" s="52"/>
      <c r="JI25" s="52"/>
      <c r="JJ25" s="52"/>
    </row>
    <row r="26" spans="1:270" s="7" customFormat="1" ht="39.950000000000003" customHeight="1" outlineLevel="1" x14ac:dyDescent="0.3">
      <c r="A26" s="8" t="s">
        <v>5</v>
      </c>
      <c r="B26" s="12" t="s">
        <v>49</v>
      </c>
      <c r="C26" s="9" t="s">
        <v>30</v>
      </c>
      <c r="D26" s="66" t="s">
        <v>50</v>
      </c>
      <c r="E26" s="158">
        <f t="shared" si="0"/>
        <v>120.1887</v>
      </c>
      <c r="F26" s="159">
        <f t="shared" si="1"/>
        <v>46.814909999999998</v>
      </c>
      <c r="G26" s="160">
        <f t="shared" si="2"/>
        <v>73.37379</v>
      </c>
      <c r="H26" s="159"/>
      <c r="I26" s="160"/>
      <c r="J26" s="165"/>
      <c r="K26" s="165"/>
      <c r="L26" s="159">
        <v>46.814909999999998</v>
      </c>
      <c r="M26" s="165">
        <v>73.37379</v>
      </c>
      <c r="N26" s="165"/>
      <c r="O26" s="165"/>
      <c r="P26" s="160"/>
      <c r="Q26" s="166"/>
      <c r="R26" s="165"/>
      <c r="S26" s="165"/>
      <c r="T26" s="159"/>
      <c r="U26" s="160"/>
      <c r="V26" s="165"/>
      <c r="W26" s="165"/>
      <c r="X26" s="160"/>
      <c r="Y26" s="166"/>
      <c r="Z26" s="160"/>
      <c r="AA26" s="160"/>
      <c r="AB26" s="165"/>
      <c r="AC26" s="165"/>
      <c r="AD26" s="165"/>
      <c r="AE26" s="165"/>
      <c r="AF26" s="160"/>
      <c r="AG26" s="160"/>
      <c r="AH26" s="160"/>
      <c r="AI26" s="165"/>
      <c r="AJ26" s="161"/>
      <c r="AK26" s="162"/>
      <c r="AL26" s="165"/>
      <c r="AM26" s="166"/>
      <c r="AN26" s="165"/>
      <c r="AO26" s="165"/>
      <c r="AP26" s="162"/>
      <c r="AQ26" s="161"/>
      <c r="AR26" s="162"/>
      <c r="AS26" s="161"/>
      <c r="AT26" s="165"/>
      <c r="AU26" s="166"/>
      <c r="AV26" s="165"/>
      <c r="AW26" s="166"/>
      <c r="AX26" s="165"/>
      <c r="AY26" s="165"/>
      <c r="AZ26" s="165"/>
      <c r="BA26" s="165"/>
      <c r="BB26" s="166"/>
      <c r="BC26" s="165"/>
      <c r="BD26" s="165"/>
      <c r="BE26" s="165"/>
      <c r="BF26" s="165"/>
      <c r="BG26" s="165"/>
      <c r="BH26" s="165"/>
      <c r="BI26" s="165"/>
      <c r="BJ26" s="166"/>
      <c r="BK26" s="165"/>
      <c r="BL26" s="165"/>
      <c r="BM26" s="168"/>
      <c r="BN26" s="165"/>
      <c r="BO26" s="165"/>
      <c r="BP26" s="165"/>
      <c r="BQ26" s="167"/>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c r="IQ26" s="52"/>
      <c r="IR26" s="52"/>
      <c r="IS26" s="52"/>
      <c r="IT26" s="52"/>
      <c r="IU26" s="52"/>
      <c r="IV26" s="52"/>
      <c r="IW26" s="52"/>
      <c r="IX26" s="52"/>
      <c r="IY26" s="52"/>
      <c r="IZ26" s="52"/>
      <c r="JA26" s="52"/>
      <c r="JB26" s="52"/>
      <c r="JC26" s="52"/>
      <c r="JD26" s="52"/>
      <c r="JE26" s="52"/>
      <c r="JF26" s="52"/>
      <c r="JG26" s="52"/>
      <c r="JH26" s="52"/>
      <c r="JI26" s="52"/>
      <c r="JJ26" s="52"/>
    </row>
    <row r="27" spans="1:270" s="7" customFormat="1" ht="39.950000000000003" customHeight="1" outlineLevel="1" x14ac:dyDescent="0.3">
      <c r="A27" s="11" t="s">
        <v>5</v>
      </c>
      <c r="B27" s="12" t="s">
        <v>32</v>
      </c>
      <c r="C27" s="9" t="s">
        <v>30</v>
      </c>
      <c r="D27" s="66">
        <v>240100814967</v>
      </c>
      <c r="E27" s="158">
        <f t="shared" si="0"/>
        <v>156.20665</v>
      </c>
      <c r="F27" s="159">
        <f t="shared" si="1"/>
        <v>52.308819999999997</v>
      </c>
      <c r="G27" s="160">
        <f t="shared" si="2"/>
        <v>103.89783</v>
      </c>
      <c r="H27" s="159"/>
      <c r="I27" s="160"/>
      <c r="J27" s="160"/>
      <c r="K27" s="160"/>
      <c r="L27" s="159">
        <v>52.308819999999997</v>
      </c>
      <c r="M27" s="160">
        <v>81.984489999999994</v>
      </c>
      <c r="N27" s="160"/>
      <c r="O27" s="160"/>
      <c r="P27" s="160"/>
      <c r="Q27" s="159"/>
      <c r="R27" s="160"/>
      <c r="S27" s="160"/>
      <c r="T27" s="159"/>
      <c r="U27" s="160"/>
      <c r="V27" s="160"/>
      <c r="W27" s="160"/>
      <c r="X27" s="160"/>
      <c r="Y27" s="159"/>
      <c r="Z27" s="160"/>
      <c r="AA27" s="160"/>
      <c r="AB27" s="160"/>
      <c r="AC27" s="160"/>
      <c r="AD27" s="160"/>
      <c r="AE27" s="160"/>
      <c r="AF27" s="160"/>
      <c r="AG27" s="160">
        <v>21.913340000000002</v>
      </c>
      <c r="AH27" s="160"/>
      <c r="AI27" s="160"/>
      <c r="AJ27" s="161"/>
      <c r="AK27" s="162"/>
      <c r="AL27" s="161"/>
      <c r="AM27" s="162"/>
      <c r="AN27" s="161"/>
      <c r="AO27" s="160"/>
      <c r="AP27" s="162"/>
      <c r="AQ27" s="161"/>
      <c r="AR27" s="162"/>
      <c r="AS27" s="161"/>
      <c r="AT27" s="161"/>
      <c r="AU27" s="162"/>
      <c r="AV27" s="161"/>
      <c r="AW27" s="159"/>
      <c r="AX27" s="160"/>
      <c r="AY27" s="160"/>
      <c r="AZ27" s="160"/>
      <c r="BA27" s="160"/>
      <c r="BB27" s="159"/>
      <c r="BC27" s="160"/>
      <c r="BD27" s="160"/>
      <c r="BE27" s="160"/>
      <c r="BF27" s="160"/>
      <c r="BG27" s="160"/>
      <c r="BH27" s="160"/>
      <c r="BI27" s="160"/>
      <c r="BJ27" s="162"/>
      <c r="BK27" s="161"/>
      <c r="BL27" s="161"/>
      <c r="BM27" s="168"/>
      <c r="BN27" s="161"/>
      <c r="BO27" s="161"/>
      <c r="BP27" s="161"/>
      <c r="BQ27" s="164"/>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c r="IW27" s="52"/>
      <c r="IX27" s="52"/>
      <c r="IY27" s="52"/>
      <c r="IZ27" s="52"/>
      <c r="JA27" s="52"/>
      <c r="JB27" s="52"/>
      <c r="JC27" s="52"/>
      <c r="JD27" s="52"/>
      <c r="JE27" s="52"/>
      <c r="JF27" s="52"/>
      <c r="JG27" s="52"/>
      <c r="JH27" s="52"/>
      <c r="JI27" s="52"/>
      <c r="JJ27" s="52"/>
    </row>
    <row r="28" spans="1:270" ht="39.950000000000003" customHeight="1" outlineLevel="1" x14ac:dyDescent="0.3">
      <c r="A28" s="8" t="s">
        <v>5</v>
      </c>
      <c r="B28" s="8" t="s">
        <v>44</v>
      </c>
      <c r="C28" s="9" t="s">
        <v>30</v>
      </c>
      <c r="D28" s="67" t="s">
        <v>45</v>
      </c>
      <c r="E28" s="158">
        <f t="shared" si="0"/>
        <v>18292.037409999997</v>
      </c>
      <c r="F28" s="159">
        <f t="shared" si="1"/>
        <v>2865.8272399999996</v>
      </c>
      <c r="G28" s="160">
        <f t="shared" si="2"/>
        <v>15426.210169999998</v>
      </c>
      <c r="H28" s="159">
        <v>116.26935</v>
      </c>
      <c r="I28" s="160">
        <v>38.756459999999997</v>
      </c>
      <c r="J28" s="165">
        <v>451.05599999999998</v>
      </c>
      <c r="K28" s="165"/>
      <c r="L28" s="159">
        <f>660.92107+381.70282</f>
        <v>1042.6238899999998</v>
      </c>
      <c r="M28" s="165">
        <f>1035.87255+598.24916</f>
        <v>1634.1217099999999</v>
      </c>
      <c r="N28" s="165"/>
      <c r="O28" s="165"/>
      <c r="P28" s="160"/>
      <c r="Q28" s="166"/>
      <c r="R28" s="165"/>
      <c r="S28" s="165"/>
      <c r="T28" s="159"/>
      <c r="U28" s="160"/>
      <c r="V28" s="165"/>
      <c r="W28" s="165"/>
      <c r="X28" s="160"/>
      <c r="Y28" s="166">
        <v>1706.934</v>
      </c>
      <c r="Z28" s="160">
        <v>568.97799999999995</v>
      </c>
      <c r="AA28" s="160">
        <v>8557.3166899999997</v>
      </c>
      <c r="AB28" s="165"/>
      <c r="AC28" s="165"/>
      <c r="AD28" s="165"/>
      <c r="AE28" s="165"/>
      <c r="AF28" s="160"/>
      <c r="AG28" s="160"/>
      <c r="AH28" s="160"/>
      <c r="AI28" s="165"/>
      <c r="AJ28" s="161"/>
      <c r="AK28" s="162"/>
      <c r="AL28" s="165"/>
      <c r="AM28" s="166"/>
      <c r="AN28" s="165"/>
      <c r="AO28" s="165"/>
      <c r="AP28" s="162"/>
      <c r="AQ28" s="161"/>
      <c r="AR28" s="162"/>
      <c r="AS28" s="161"/>
      <c r="AT28" s="165"/>
      <c r="AU28" s="166"/>
      <c r="AV28" s="165"/>
      <c r="AW28" s="166"/>
      <c r="AX28" s="165"/>
      <c r="AY28" s="165"/>
      <c r="AZ28" s="165"/>
      <c r="BA28" s="165"/>
      <c r="BB28" s="166"/>
      <c r="BC28" s="165"/>
      <c r="BD28" s="165"/>
      <c r="BE28" s="165">
        <v>1203.2025599999999</v>
      </c>
      <c r="BF28" s="165">
        <v>2972.7787499999999</v>
      </c>
      <c r="BG28" s="165"/>
      <c r="BH28" s="165"/>
      <c r="BI28" s="165"/>
      <c r="BJ28" s="166"/>
      <c r="BK28" s="165"/>
      <c r="BL28" s="165"/>
      <c r="BM28" s="163"/>
      <c r="BN28" s="165"/>
      <c r="BO28" s="165"/>
      <c r="BP28" s="165"/>
      <c r="BQ28" s="167"/>
    </row>
    <row r="29" spans="1:270" ht="39.950000000000003" customHeight="1" outlineLevel="1" x14ac:dyDescent="0.3">
      <c r="A29" s="8" t="s">
        <v>5</v>
      </c>
      <c r="B29" s="12" t="s">
        <v>51</v>
      </c>
      <c r="C29" s="9" t="s">
        <v>30</v>
      </c>
      <c r="D29" s="66" t="s">
        <v>52</v>
      </c>
      <c r="E29" s="158">
        <f t="shared" si="0"/>
        <v>455.57994000000002</v>
      </c>
      <c r="F29" s="159">
        <f t="shared" si="1"/>
        <v>11.81659</v>
      </c>
      <c r="G29" s="160">
        <f t="shared" si="2"/>
        <v>443.76335</v>
      </c>
      <c r="H29" s="159"/>
      <c r="I29" s="160"/>
      <c r="J29" s="165"/>
      <c r="K29" s="165"/>
      <c r="L29" s="159">
        <v>11.81659</v>
      </c>
      <c r="M29" s="165">
        <v>18.520350000000001</v>
      </c>
      <c r="N29" s="165"/>
      <c r="O29" s="165"/>
      <c r="P29" s="160"/>
      <c r="Q29" s="166"/>
      <c r="R29" s="165"/>
      <c r="S29" s="165"/>
      <c r="T29" s="159"/>
      <c r="U29" s="160"/>
      <c r="V29" s="165"/>
      <c r="W29" s="165"/>
      <c r="X29" s="160"/>
      <c r="Y29" s="166"/>
      <c r="Z29" s="160"/>
      <c r="AA29" s="160"/>
      <c r="AB29" s="165"/>
      <c r="AC29" s="165"/>
      <c r="AD29" s="165"/>
      <c r="AE29" s="165"/>
      <c r="AF29" s="160"/>
      <c r="AG29" s="160"/>
      <c r="AH29" s="160"/>
      <c r="AI29" s="165"/>
      <c r="AJ29" s="161"/>
      <c r="AK29" s="162"/>
      <c r="AL29" s="165"/>
      <c r="AM29" s="166"/>
      <c r="AN29" s="165"/>
      <c r="AO29" s="165"/>
      <c r="AP29" s="162"/>
      <c r="AQ29" s="161"/>
      <c r="AR29" s="162"/>
      <c r="AS29" s="161"/>
      <c r="AT29" s="165"/>
      <c r="AU29" s="166"/>
      <c r="AV29" s="165"/>
      <c r="AW29" s="166"/>
      <c r="AX29" s="165"/>
      <c r="AY29" s="165"/>
      <c r="AZ29" s="165"/>
      <c r="BA29" s="165"/>
      <c r="BB29" s="166"/>
      <c r="BC29" s="165"/>
      <c r="BD29" s="165"/>
      <c r="BE29" s="165"/>
      <c r="BF29" s="165"/>
      <c r="BG29" s="165"/>
      <c r="BH29" s="165"/>
      <c r="BI29" s="165"/>
      <c r="BJ29" s="166"/>
      <c r="BK29" s="165"/>
      <c r="BL29" s="165"/>
      <c r="BM29" s="163"/>
      <c r="BN29" s="165"/>
      <c r="BO29" s="165">
        <v>425.24299999999999</v>
      </c>
      <c r="BP29" s="165"/>
      <c r="BQ29" s="167"/>
    </row>
    <row r="30" spans="1:270" ht="39.950000000000003" customHeight="1" outlineLevel="1" x14ac:dyDescent="0.3">
      <c r="A30" s="8" t="s">
        <v>5</v>
      </c>
      <c r="B30" s="8" t="s">
        <v>53</v>
      </c>
      <c r="C30" s="9" t="s">
        <v>30</v>
      </c>
      <c r="D30" s="66">
        <v>240100597656</v>
      </c>
      <c r="E30" s="158">
        <f t="shared" si="0"/>
        <v>91.52</v>
      </c>
      <c r="F30" s="159">
        <f t="shared" si="1"/>
        <v>0</v>
      </c>
      <c r="G30" s="160">
        <f t="shared" si="2"/>
        <v>91.52</v>
      </c>
      <c r="H30" s="159"/>
      <c r="I30" s="160"/>
      <c r="J30" s="165"/>
      <c r="K30" s="165"/>
      <c r="L30" s="159"/>
      <c r="M30" s="165"/>
      <c r="N30" s="165"/>
      <c r="O30" s="165"/>
      <c r="P30" s="160"/>
      <c r="Q30" s="166"/>
      <c r="R30" s="165"/>
      <c r="S30" s="165"/>
      <c r="T30" s="159"/>
      <c r="U30" s="160"/>
      <c r="V30" s="165"/>
      <c r="W30" s="165">
        <v>91.52</v>
      </c>
      <c r="X30" s="160"/>
      <c r="Y30" s="166"/>
      <c r="Z30" s="160"/>
      <c r="AA30" s="160"/>
      <c r="AB30" s="165"/>
      <c r="AC30" s="165"/>
      <c r="AD30" s="165"/>
      <c r="AE30" s="165"/>
      <c r="AF30" s="160"/>
      <c r="AG30" s="160"/>
      <c r="AH30" s="160"/>
      <c r="AI30" s="165"/>
      <c r="AJ30" s="161"/>
      <c r="AK30" s="162"/>
      <c r="AL30" s="165"/>
      <c r="AM30" s="166"/>
      <c r="AN30" s="165"/>
      <c r="AO30" s="165"/>
      <c r="AP30" s="162"/>
      <c r="AQ30" s="161"/>
      <c r="AR30" s="162"/>
      <c r="AS30" s="161"/>
      <c r="AT30" s="165"/>
      <c r="AU30" s="166"/>
      <c r="AV30" s="165"/>
      <c r="AW30" s="166"/>
      <c r="AX30" s="165"/>
      <c r="AY30" s="165"/>
      <c r="AZ30" s="165"/>
      <c r="BA30" s="165"/>
      <c r="BB30" s="166"/>
      <c r="BC30" s="165"/>
      <c r="BD30" s="165"/>
      <c r="BE30" s="165"/>
      <c r="BF30" s="165"/>
      <c r="BG30" s="165"/>
      <c r="BH30" s="165"/>
      <c r="BI30" s="165"/>
      <c r="BJ30" s="166"/>
      <c r="BK30" s="165"/>
      <c r="BL30" s="165"/>
      <c r="BM30" s="163"/>
      <c r="BN30" s="165"/>
      <c r="BO30" s="165"/>
      <c r="BP30" s="165"/>
      <c r="BQ30" s="167"/>
    </row>
    <row r="31" spans="1:270" ht="39.950000000000003" customHeight="1" outlineLevel="1" x14ac:dyDescent="0.3">
      <c r="A31" s="8" t="s">
        <v>5</v>
      </c>
      <c r="B31" s="8" t="s">
        <v>54</v>
      </c>
      <c r="C31" s="9" t="s">
        <v>30</v>
      </c>
      <c r="D31" s="66" t="s">
        <v>55</v>
      </c>
      <c r="E31" s="158">
        <f t="shared" si="0"/>
        <v>498.32325000000003</v>
      </c>
      <c r="F31" s="159">
        <f t="shared" si="1"/>
        <v>238.89696000000001</v>
      </c>
      <c r="G31" s="160">
        <f t="shared" si="2"/>
        <v>259.42628999999999</v>
      </c>
      <c r="H31" s="159">
        <v>93.194850000000002</v>
      </c>
      <c r="I31" s="160">
        <v>31.06495</v>
      </c>
      <c r="J31" s="165"/>
      <c r="K31" s="165"/>
      <c r="L31" s="159">
        <v>145.70211</v>
      </c>
      <c r="M31" s="165">
        <v>228.36134000000001</v>
      </c>
      <c r="N31" s="165"/>
      <c r="O31" s="165"/>
      <c r="P31" s="160"/>
      <c r="Q31" s="166"/>
      <c r="R31" s="165"/>
      <c r="S31" s="165"/>
      <c r="T31" s="159"/>
      <c r="U31" s="160"/>
      <c r="V31" s="165"/>
      <c r="W31" s="165"/>
      <c r="X31" s="160"/>
      <c r="Y31" s="166"/>
      <c r="Z31" s="160"/>
      <c r="AA31" s="160"/>
      <c r="AB31" s="165"/>
      <c r="AC31" s="165"/>
      <c r="AD31" s="165"/>
      <c r="AE31" s="165"/>
      <c r="AF31" s="160"/>
      <c r="AG31" s="160"/>
      <c r="AH31" s="160"/>
      <c r="AI31" s="165"/>
      <c r="AJ31" s="161"/>
      <c r="AK31" s="162"/>
      <c r="AL31" s="165"/>
      <c r="AM31" s="166"/>
      <c r="AN31" s="165"/>
      <c r="AO31" s="165"/>
      <c r="AP31" s="162"/>
      <c r="AQ31" s="161"/>
      <c r="AR31" s="162"/>
      <c r="AS31" s="161"/>
      <c r="AT31" s="165"/>
      <c r="AU31" s="166"/>
      <c r="AV31" s="165"/>
      <c r="AW31" s="166"/>
      <c r="AX31" s="165"/>
      <c r="AY31" s="165"/>
      <c r="AZ31" s="165"/>
      <c r="BA31" s="165"/>
      <c r="BB31" s="166"/>
      <c r="BC31" s="165"/>
      <c r="BD31" s="165"/>
      <c r="BE31" s="165"/>
      <c r="BF31" s="165"/>
      <c r="BG31" s="165"/>
      <c r="BH31" s="165"/>
      <c r="BI31" s="165"/>
      <c r="BJ31" s="166"/>
      <c r="BK31" s="165"/>
      <c r="BL31" s="165"/>
      <c r="BM31" s="163"/>
      <c r="BN31" s="165"/>
      <c r="BO31" s="165"/>
      <c r="BP31" s="165"/>
      <c r="BQ31" s="167"/>
    </row>
    <row r="32" spans="1:270" ht="39.950000000000003" customHeight="1" outlineLevel="1" x14ac:dyDescent="0.3">
      <c r="A32" s="8" t="s">
        <v>5</v>
      </c>
      <c r="B32" s="8" t="s">
        <v>56</v>
      </c>
      <c r="C32" s="9" t="s">
        <v>30</v>
      </c>
      <c r="D32" s="66">
        <v>240100434059</v>
      </c>
      <c r="E32" s="158">
        <f t="shared" si="0"/>
        <v>62.077600000000004</v>
      </c>
      <c r="F32" s="159">
        <f t="shared" si="1"/>
        <v>24.179960000000001</v>
      </c>
      <c r="G32" s="160">
        <f t="shared" si="2"/>
        <v>37.897640000000003</v>
      </c>
      <c r="H32" s="159"/>
      <c r="I32" s="160"/>
      <c r="J32" s="165"/>
      <c r="K32" s="165"/>
      <c r="L32" s="159">
        <v>24.179960000000001</v>
      </c>
      <c r="M32" s="165">
        <v>37.897640000000003</v>
      </c>
      <c r="N32" s="165"/>
      <c r="O32" s="165"/>
      <c r="P32" s="160"/>
      <c r="Q32" s="166"/>
      <c r="R32" s="165"/>
      <c r="S32" s="165"/>
      <c r="T32" s="159"/>
      <c r="U32" s="160"/>
      <c r="V32" s="165"/>
      <c r="W32" s="165"/>
      <c r="X32" s="160"/>
      <c r="Y32" s="166"/>
      <c r="Z32" s="160"/>
      <c r="AA32" s="160"/>
      <c r="AB32" s="165"/>
      <c r="AC32" s="165"/>
      <c r="AD32" s="165"/>
      <c r="AE32" s="165"/>
      <c r="AF32" s="160"/>
      <c r="AG32" s="160"/>
      <c r="AH32" s="160"/>
      <c r="AI32" s="165"/>
      <c r="AJ32" s="161"/>
      <c r="AK32" s="162"/>
      <c r="AL32" s="165"/>
      <c r="AM32" s="166"/>
      <c r="AN32" s="165"/>
      <c r="AO32" s="165"/>
      <c r="AP32" s="162"/>
      <c r="AQ32" s="161"/>
      <c r="AR32" s="162"/>
      <c r="AS32" s="161"/>
      <c r="AT32" s="165"/>
      <c r="AU32" s="166"/>
      <c r="AV32" s="165"/>
      <c r="AW32" s="166"/>
      <c r="AX32" s="165"/>
      <c r="AY32" s="165"/>
      <c r="AZ32" s="165"/>
      <c r="BA32" s="165"/>
      <c r="BB32" s="166"/>
      <c r="BC32" s="165"/>
      <c r="BD32" s="165"/>
      <c r="BE32" s="165"/>
      <c r="BF32" s="165"/>
      <c r="BG32" s="165"/>
      <c r="BH32" s="165"/>
      <c r="BI32" s="165"/>
      <c r="BJ32" s="166"/>
      <c r="BK32" s="165"/>
      <c r="BL32" s="165"/>
      <c r="BM32" s="163"/>
      <c r="BN32" s="165"/>
      <c r="BO32" s="165"/>
      <c r="BP32" s="165"/>
      <c r="BQ32" s="167"/>
    </row>
    <row r="33" spans="1:69" ht="39.950000000000003" customHeight="1" outlineLevel="1" x14ac:dyDescent="0.3">
      <c r="A33" s="11" t="s">
        <v>5</v>
      </c>
      <c r="B33" s="11" t="s">
        <v>57</v>
      </c>
      <c r="C33" s="9" t="s">
        <v>30</v>
      </c>
      <c r="D33" s="66" t="s">
        <v>58</v>
      </c>
      <c r="E33" s="158">
        <f t="shared" si="0"/>
        <v>29.46894</v>
      </c>
      <c r="F33" s="159">
        <f t="shared" si="1"/>
        <v>11.4785</v>
      </c>
      <c r="G33" s="160">
        <f t="shared" si="2"/>
        <v>17.99044</v>
      </c>
      <c r="H33" s="166"/>
      <c r="I33" s="160"/>
      <c r="J33" s="165"/>
      <c r="K33" s="165"/>
      <c r="L33" s="159">
        <v>11.4785</v>
      </c>
      <c r="M33" s="165">
        <v>17.99044</v>
      </c>
      <c r="N33" s="165"/>
      <c r="O33" s="165"/>
      <c r="P33" s="160"/>
      <c r="Q33" s="166"/>
      <c r="R33" s="165"/>
      <c r="S33" s="165"/>
      <c r="T33" s="159"/>
      <c r="U33" s="160"/>
      <c r="V33" s="165"/>
      <c r="W33" s="165"/>
      <c r="X33" s="160"/>
      <c r="Y33" s="166"/>
      <c r="Z33" s="160"/>
      <c r="AA33" s="160"/>
      <c r="AB33" s="165"/>
      <c r="AC33" s="165"/>
      <c r="AD33" s="165"/>
      <c r="AE33" s="165"/>
      <c r="AF33" s="160"/>
      <c r="AG33" s="160"/>
      <c r="AH33" s="160"/>
      <c r="AI33" s="165"/>
      <c r="AJ33" s="161"/>
      <c r="AK33" s="162"/>
      <c r="AL33" s="165"/>
      <c r="AM33" s="166"/>
      <c r="AN33" s="165"/>
      <c r="AO33" s="165"/>
      <c r="AP33" s="162"/>
      <c r="AQ33" s="161"/>
      <c r="AR33" s="162"/>
      <c r="AS33" s="161"/>
      <c r="AT33" s="165"/>
      <c r="AU33" s="166"/>
      <c r="AV33" s="165"/>
      <c r="AW33" s="166"/>
      <c r="AX33" s="165"/>
      <c r="AY33" s="165"/>
      <c r="AZ33" s="165"/>
      <c r="BA33" s="165"/>
      <c r="BB33" s="166"/>
      <c r="BC33" s="165"/>
      <c r="BD33" s="165"/>
      <c r="BE33" s="165"/>
      <c r="BF33" s="165"/>
      <c r="BG33" s="165"/>
      <c r="BH33" s="165"/>
      <c r="BI33" s="165"/>
      <c r="BJ33" s="166"/>
      <c r="BK33" s="165"/>
      <c r="BL33" s="165"/>
      <c r="BM33" s="163"/>
      <c r="BN33" s="165"/>
      <c r="BO33" s="165"/>
      <c r="BP33" s="165"/>
      <c r="BQ33" s="167"/>
    </row>
    <row r="34" spans="1:69" ht="39.950000000000003" customHeight="1" outlineLevel="1" x14ac:dyDescent="0.3">
      <c r="A34" s="8" t="s">
        <v>5</v>
      </c>
      <c r="B34" s="12" t="s">
        <v>60</v>
      </c>
      <c r="C34" s="9" t="s">
        <v>30</v>
      </c>
      <c r="D34" s="66" t="s">
        <v>61</v>
      </c>
      <c r="E34" s="158">
        <f t="shared" si="0"/>
        <v>236.12146000000001</v>
      </c>
      <c r="F34" s="159">
        <f t="shared" si="1"/>
        <v>91.972089999999994</v>
      </c>
      <c r="G34" s="160">
        <f t="shared" si="2"/>
        <v>144.14937</v>
      </c>
      <c r="H34" s="159"/>
      <c r="I34" s="160"/>
      <c r="J34" s="165"/>
      <c r="K34" s="165"/>
      <c r="L34" s="159">
        <v>91.972089999999994</v>
      </c>
      <c r="M34" s="165">
        <v>144.14937</v>
      </c>
      <c r="N34" s="165"/>
      <c r="O34" s="165"/>
      <c r="P34" s="160"/>
      <c r="Q34" s="166"/>
      <c r="R34" s="165"/>
      <c r="S34" s="165"/>
      <c r="T34" s="159"/>
      <c r="U34" s="160"/>
      <c r="V34" s="165"/>
      <c r="W34" s="165"/>
      <c r="X34" s="160"/>
      <c r="Y34" s="166"/>
      <c r="Z34" s="160"/>
      <c r="AA34" s="160"/>
      <c r="AB34" s="165"/>
      <c r="AC34" s="165"/>
      <c r="AD34" s="165"/>
      <c r="AE34" s="165"/>
      <c r="AF34" s="160"/>
      <c r="AG34" s="160"/>
      <c r="AH34" s="160"/>
      <c r="AI34" s="165"/>
      <c r="AJ34" s="161"/>
      <c r="AK34" s="162"/>
      <c r="AL34" s="165"/>
      <c r="AM34" s="166"/>
      <c r="AN34" s="165"/>
      <c r="AO34" s="165"/>
      <c r="AP34" s="162"/>
      <c r="AQ34" s="161"/>
      <c r="AR34" s="162"/>
      <c r="AS34" s="161"/>
      <c r="AT34" s="165"/>
      <c r="AU34" s="166"/>
      <c r="AV34" s="165"/>
      <c r="AW34" s="166"/>
      <c r="AX34" s="165"/>
      <c r="AY34" s="165"/>
      <c r="AZ34" s="165"/>
      <c r="BA34" s="165"/>
      <c r="BB34" s="166"/>
      <c r="BC34" s="165"/>
      <c r="BD34" s="165"/>
      <c r="BE34" s="165"/>
      <c r="BF34" s="165"/>
      <c r="BG34" s="165"/>
      <c r="BH34" s="165"/>
      <c r="BI34" s="165"/>
      <c r="BJ34" s="166"/>
      <c r="BK34" s="165"/>
      <c r="BL34" s="165"/>
      <c r="BM34" s="163"/>
      <c r="BN34" s="165"/>
      <c r="BO34" s="165"/>
      <c r="BP34" s="165"/>
      <c r="BQ34" s="167"/>
    </row>
    <row r="35" spans="1:69" ht="39.950000000000003" customHeight="1" outlineLevel="1" x14ac:dyDescent="0.3">
      <c r="A35" s="11" t="s">
        <v>5</v>
      </c>
      <c r="B35" s="11" t="s">
        <v>68</v>
      </c>
      <c r="C35" s="9" t="s">
        <v>30</v>
      </c>
      <c r="D35" s="66" t="s">
        <v>69</v>
      </c>
      <c r="E35" s="158">
        <f t="shared" si="0"/>
        <v>667.98111999999992</v>
      </c>
      <c r="F35" s="159">
        <f t="shared" si="1"/>
        <v>114.90707999999999</v>
      </c>
      <c r="G35" s="160">
        <f t="shared" si="2"/>
        <v>553.07403999999997</v>
      </c>
      <c r="H35" s="159"/>
      <c r="I35" s="160"/>
      <c r="J35" s="165"/>
      <c r="K35" s="165"/>
      <c r="L35" s="159">
        <v>114.90707999999999</v>
      </c>
      <c r="M35" s="165">
        <v>180.09576999999999</v>
      </c>
      <c r="N35" s="165"/>
      <c r="O35" s="165"/>
      <c r="P35" s="160"/>
      <c r="Q35" s="166"/>
      <c r="R35" s="165"/>
      <c r="S35" s="165"/>
      <c r="T35" s="159"/>
      <c r="U35" s="160"/>
      <c r="V35" s="165"/>
      <c r="W35" s="165"/>
      <c r="X35" s="160"/>
      <c r="Y35" s="166"/>
      <c r="Z35" s="160"/>
      <c r="AA35" s="160"/>
      <c r="AB35" s="165"/>
      <c r="AC35" s="165"/>
      <c r="AD35" s="165"/>
      <c r="AE35" s="165"/>
      <c r="AF35" s="160"/>
      <c r="AG35" s="160"/>
      <c r="AH35" s="160"/>
      <c r="AI35" s="165"/>
      <c r="AJ35" s="161"/>
      <c r="AK35" s="162"/>
      <c r="AL35" s="165"/>
      <c r="AM35" s="166"/>
      <c r="AN35" s="165"/>
      <c r="AO35" s="165"/>
      <c r="AP35" s="162"/>
      <c r="AQ35" s="161"/>
      <c r="AR35" s="162"/>
      <c r="AS35" s="161"/>
      <c r="AT35" s="165"/>
      <c r="AU35" s="166"/>
      <c r="AV35" s="165"/>
      <c r="AW35" s="166"/>
      <c r="AX35" s="165"/>
      <c r="AY35" s="165"/>
      <c r="AZ35" s="165"/>
      <c r="BA35" s="165"/>
      <c r="BB35" s="166"/>
      <c r="BC35" s="165"/>
      <c r="BD35" s="165"/>
      <c r="BE35" s="165">
        <v>372.97827000000001</v>
      </c>
      <c r="BF35" s="165"/>
      <c r="BG35" s="165"/>
      <c r="BH35" s="165"/>
      <c r="BI35" s="165"/>
      <c r="BJ35" s="166"/>
      <c r="BK35" s="165"/>
      <c r="BL35" s="165"/>
      <c r="BM35" s="163"/>
      <c r="BN35" s="165"/>
      <c r="BO35" s="165"/>
      <c r="BP35" s="165"/>
      <c r="BQ35" s="167"/>
    </row>
    <row r="36" spans="1:69" ht="39.950000000000003" customHeight="1" outlineLevel="1" x14ac:dyDescent="0.3">
      <c r="A36" s="11" t="s">
        <v>5</v>
      </c>
      <c r="B36" s="11" t="s">
        <v>70</v>
      </c>
      <c r="C36" s="9" t="s">
        <v>30</v>
      </c>
      <c r="D36" s="66" t="s">
        <v>71</v>
      </c>
      <c r="E36" s="158">
        <f t="shared" si="0"/>
        <v>254.45982000000004</v>
      </c>
      <c r="F36" s="159">
        <f t="shared" si="1"/>
        <v>42.601129999999998</v>
      </c>
      <c r="G36" s="160">
        <f t="shared" si="2"/>
        <v>211.85869000000002</v>
      </c>
      <c r="H36" s="159"/>
      <c r="I36" s="160"/>
      <c r="J36" s="165"/>
      <c r="K36" s="165"/>
      <c r="L36" s="159">
        <v>42.601129999999998</v>
      </c>
      <c r="M36" s="165">
        <v>66.769469999999998</v>
      </c>
      <c r="N36" s="165"/>
      <c r="O36" s="165"/>
      <c r="P36" s="160"/>
      <c r="Q36" s="166"/>
      <c r="R36" s="165"/>
      <c r="S36" s="165"/>
      <c r="T36" s="159"/>
      <c r="U36" s="160"/>
      <c r="V36" s="165"/>
      <c r="W36" s="165"/>
      <c r="X36" s="160"/>
      <c r="Y36" s="166"/>
      <c r="Z36" s="160"/>
      <c r="AA36" s="160"/>
      <c r="AB36" s="165"/>
      <c r="AC36" s="165"/>
      <c r="AD36" s="165"/>
      <c r="AE36" s="165"/>
      <c r="AF36" s="160"/>
      <c r="AG36" s="160"/>
      <c r="AH36" s="160"/>
      <c r="AI36" s="165"/>
      <c r="AJ36" s="161"/>
      <c r="AK36" s="162"/>
      <c r="AL36" s="165"/>
      <c r="AM36" s="166"/>
      <c r="AN36" s="165"/>
      <c r="AO36" s="165"/>
      <c r="AP36" s="162"/>
      <c r="AQ36" s="161"/>
      <c r="AR36" s="162"/>
      <c r="AS36" s="161"/>
      <c r="AT36" s="165"/>
      <c r="AU36" s="166"/>
      <c r="AV36" s="165"/>
      <c r="AW36" s="166"/>
      <c r="AX36" s="165"/>
      <c r="AY36" s="165"/>
      <c r="AZ36" s="165"/>
      <c r="BA36" s="165">
        <v>145.08922000000001</v>
      </c>
      <c r="BB36" s="166"/>
      <c r="BC36" s="165"/>
      <c r="BD36" s="165"/>
      <c r="BE36" s="165"/>
      <c r="BF36" s="165"/>
      <c r="BG36" s="165"/>
      <c r="BH36" s="165"/>
      <c r="BI36" s="165"/>
      <c r="BJ36" s="166"/>
      <c r="BK36" s="165"/>
      <c r="BL36" s="165"/>
      <c r="BM36" s="163"/>
      <c r="BN36" s="165"/>
      <c r="BO36" s="165"/>
      <c r="BP36" s="165"/>
      <c r="BQ36" s="167"/>
    </row>
    <row r="37" spans="1:69" ht="39.950000000000003" customHeight="1" outlineLevel="1" x14ac:dyDescent="0.3">
      <c r="A37" s="11" t="s">
        <v>5</v>
      </c>
      <c r="B37" s="11" t="s">
        <v>66</v>
      </c>
      <c r="C37" s="9" t="s">
        <v>30</v>
      </c>
      <c r="D37" s="66" t="s">
        <v>67</v>
      </c>
      <c r="E37" s="158">
        <f t="shared" si="0"/>
        <v>1285.59187</v>
      </c>
      <c r="F37" s="159">
        <f t="shared" si="1"/>
        <v>336.33290999999997</v>
      </c>
      <c r="G37" s="160">
        <f t="shared" si="2"/>
        <v>949.25896</v>
      </c>
      <c r="H37" s="159">
        <v>186.80025000000001</v>
      </c>
      <c r="I37" s="160">
        <v>62.266750000000002</v>
      </c>
      <c r="J37" s="165"/>
      <c r="K37" s="165"/>
      <c r="L37" s="159">
        <v>149.53265999999999</v>
      </c>
      <c r="M37" s="165">
        <v>234.36502999999999</v>
      </c>
      <c r="N37" s="165"/>
      <c r="O37" s="165"/>
      <c r="P37" s="160"/>
      <c r="Q37" s="166"/>
      <c r="R37" s="165"/>
      <c r="S37" s="165"/>
      <c r="T37" s="159"/>
      <c r="U37" s="160"/>
      <c r="V37" s="165"/>
      <c r="W37" s="165"/>
      <c r="X37" s="160"/>
      <c r="Y37" s="166"/>
      <c r="Z37" s="160"/>
      <c r="AA37" s="160"/>
      <c r="AB37" s="165"/>
      <c r="AC37" s="165"/>
      <c r="AD37" s="165"/>
      <c r="AE37" s="165"/>
      <c r="AF37" s="160"/>
      <c r="AG37" s="160"/>
      <c r="AH37" s="160"/>
      <c r="AI37" s="165"/>
      <c r="AJ37" s="161"/>
      <c r="AK37" s="162"/>
      <c r="AL37" s="165"/>
      <c r="AM37" s="166"/>
      <c r="AN37" s="165"/>
      <c r="AO37" s="165"/>
      <c r="AP37" s="162"/>
      <c r="AQ37" s="161"/>
      <c r="AR37" s="162"/>
      <c r="AS37" s="161"/>
      <c r="AT37" s="165"/>
      <c r="AU37" s="166"/>
      <c r="AV37" s="165"/>
      <c r="AW37" s="166"/>
      <c r="AX37" s="165"/>
      <c r="AY37" s="165"/>
      <c r="AZ37" s="165"/>
      <c r="BA37" s="165"/>
      <c r="BB37" s="166"/>
      <c r="BC37" s="165"/>
      <c r="BD37" s="165"/>
      <c r="BE37" s="165">
        <v>369.58075000000002</v>
      </c>
      <c r="BF37" s="165"/>
      <c r="BG37" s="165"/>
      <c r="BH37" s="165"/>
      <c r="BI37" s="165"/>
      <c r="BJ37" s="166"/>
      <c r="BK37" s="165"/>
      <c r="BL37" s="165"/>
      <c r="BM37" s="163"/>
      <c r="BN37" s="165"/>
      <c r="BO37" s="165">
        <v>283.04642999999999</v>
      </c>
      <c r="BP37" s="165"/>
      <c r="BQ37" s="167"/>
    </row>
    <row r="38" spans="1:69" ht="39.950000000000003" customHeight="1" outlineLevel="1" x14ac:dyDescent="0.3">
      <c r="A38" s="8" t="s">
        <v>5</v>
      </c>
      <c r="B38" s="8" t="s">
        <v>1559</v>
      </c>
      <c r="C38" s="9" t="s">
        <v>73</v>
      </c>
      <c r="D38" s="66">
        <v>2401005627</v>
      </c>
      <c r="E38" s="158">
        <f t="shared" ref="E38:E51" si="3">F38+G38</f>
        <v>163.13801999999998</v>
      </c>
      <c r="F38" s="159">
        <f t="shared" si="1"/>
        <v>0</v>
      </c>
      <c r="G38" s="160">
        <f t="shared" si="2"/>
        <v>163.13801999999998</v>
      </c>
      <c r="H38" s="166"/>
      <c r="I38" s="160"/>
      <c r="J38" s="165"/>
      <c r="K38" s="165"/>
      <c r="L38" s="159"/>
      <c r="M38" s="165"/>
      <c r="N38" s="165"/>
      <c r="O38" s="165"/>
      <c r="P38" s="160"/>
      <c r="Q38" s="166"/>
      <c r="R38" s="165"/>
      <c r="S38" s="165"/>
      <c r="T38" s="159"/>
      <c r="U38" s="160"/>
      <c r="V38" s="165"/>
      <c r="W38" s="165"/>
      <c r="X38" s="160"/>
      <c r="Y38" s="166"/>
      <c r="Z38" s="160"/>
      <c r="AA38" s="160"/>
      <c r="AB38" s="165"/>
      <c r="AC38" s="165"/>
      <c r="AD38" s="165"/>
      <c r="AE38" s="165"/>
      <c r="AF38" s="160"/>
      <c r="AG38" s="160"/>
      <c r="AH38" s="160"/>
      <c r="AI38" s="165"/>
      <c r="AJ38" s="161"/>
      <c r="AK38" s="162"/>
      <c r="AL38" s="165"/>
      <c r="AM38" s="166"/>
      <c r="AN38" s="165"/>
      <c r="AO38" s="165"/>
      <c r="AP38" s="162"/>
      <c r="AQ38" s="161"/>
      <c r="AR38" s="162"/>
      <c r="AS38" s="161"/>
      <c r="AT38" s="165">
        <f>32.55978+58.13118+72.44706</f>
        <v>163.13801999999998</v>
      </c>
      <c r="AU38" s="166"/>
      <c r="AV38" s="165"/>
      <c r="AW38" s="166"/>
      <c r="AX38" s="165"/>
      <c r="AY38" s="165"/>
      <c r="AZ38" s="165"/>
      <c r="BA38" s="165"/>
      <c r="BB38" s="166"/>
      <c r="BC38" s="165"/>
      <c r="BD38" s="165"/>
      <c r="BE38" s="165"/>
      <c r="BF38" s="165"/>
      <c r="BG38" s="165"/>
      <c r="BH38" s="165"/>
      <c r="BI38" s="165"/>
      <c r="BJ38" s="166"/>
      <c r="BK38" s="165"/>
      <c r="BL38" s="165"/>
      <c r="BM38" s="163"/>
      <c r="BN38" s="165"/>
      <c r="BO38" s="165"/>
      <c r="BP38" s="165"/>
      <c r="BQ38" s="167"/>
    </row>
    <row r="39" spans="1:69" ht="39.950000000000003" customHeight="1" outlineLevel="1" x14ac:dyDescent="0.3">
      <c r="A39" s="8" t="s">
        <v>5</v>
      </c>
      <c r="B39" s="8" t="s">
        <v>77</v>
      </c>
      <c r="C39" s="9" t="s">
        <v>73</v>
      </c>
      <c r="D39" s="66" t="s">
        <v>78</v>
      </c>
      <c r="E39" s="158">
        <f t="shared" si="3"/>
        <v>923.67571999999996</v>
      </c>
      <c r="F39" s="159">
        <f t="shared" si="1"/>
        <v>0</v>
      </c>
      <c r="G39" s="160">
        <f t="shared" si="2"/>
        <v>923.67571999999996</v>
      </c>
      <c r="H39" s="166"/>
      <c r="I39" s="160"/>
      <c r="J39" s="165"/>
      <c r="K39" s="165"/>
      <c r="L39" s="159"/>
      <c r="M39" s="165"/>
      <c r="N39" s="165"/>
      <c r="O39" s="165"/>
      <c r="P39" s="160"/>
      <c r="Q39" s="166"/>
      <c r="R39" s="165"/>
      <c r="S39" s="165"/>
      <c r="T39" s="159"/>
      <c r="U39" s="160"/>
      <c r="V39" s="165"/>
      <c r="W39" s="165"/>
      <c r="X39" s="160"/>
      <c r="Y39" s="166"/>
      <c r="Z39" s="160"/>
      <c r="AA39" s="160"/>
      <c r="AB39" s="165"/>
      <c r="AC39" s="165"/>
      <c r="AD39" s="165"/>
      <c r="AE39" s="165"/>
      <c r="AF39" s="160"/>
      <c r="AG39" s="160"/>
      <c r="AH39" s="160"/>
      <c r="AI39" s="165"/>
      <c r="AJ39" s="161"/>
      <c r="AK39" s="162"/>
      <c r="AL39" s="165"/>
      <c r="AM39" s="166"/>
      <c r="AN39" s="165"/>
      <c r="AO39" s="165"/>
      <c r="AP39" s="162"/>
      <c r="AQ39" s="161"/>
      <c r="AR39" s="162"/>
      <c r="AS39" s="161"/>
      <c r="AT39" s="165">
        <f>212.1497+293.724+253.2461+64.9855+58.15304+41.41738</f>
        <v>923.67571999999996</v>
      </c>
      <c r="AU39" s="166"/>
      <c r="AV39" s="165"/>
      <c r="AW39" s="166"/>
      <c r="AX39" s="165"/>
      <c r="AY39" s="165"/>
      <c r="AZ39" s="165"/>
      <c r="BA39" s="165"/>
      <c r="BB39" s="166"/>
      <c r="BC39" s="165"/>
      <c r="BD39" s="165"/>
      <c r="BE39" s="165"/>
      <c r="BF39" s="165"/>
      <c r="BG39" s="165"/>
      <c r="BH39" s="165"/>
      <c r="BI39" s="165"/>
      <c r="BJ39" s="166"/>
      <c r="BK39" s="165"/>
      <c r="BL39" s="165"/>
      <c r="BM39" s="163"/>
      <c r="BN39" s="165"/>
      <c r="BO39" s="165"/>
      <c r="BP39" s="165"/>
      <c r="BQ39" s="167"/>
    </row>
    <row r="40" spans="1:69" ht="39.950000000000003" customHeight="1" outlineLevel="1" x14ac:dyDescent="0.3">
      <c r="A40" s="8" t="s">
        <v>5</v>
      </c>
      <c r="B40" s="8" t="s">
        <v>74</v>
      </c>
      <c r="C40" s="9" t="s">
        <v>73</v>
      </c>
      <c r="D40" s="66" t="s">
        <v>75</v>
      </c>
      <c r="E40" s="158">
        <f t="shared" si="3"/>
        <v>1264.94174</v>
      </c>
      <c r="F40" s="159">
        <f t="shared" si="1"/>
        <v>0</v>
      </c>
      <c r="G40" s="160">
        <f t="shared" si="2"/>
        <v>1264.94174</v>
      </c>
      <c r="H40" s="166"/>
      <c r="I40" s="160"/>
      <c r="J40" s="165"/>
      <c r="K40" s="165"/>
      <c r="L40" s="159"/>
      <c r="M40" s="165"/>
      <c r="N40" s="165"/>
      <c r="O40" s="165"/>
      <c r="P40" s="160"/>
      <c r="Q40" s="166"/>
      <c r="R40" s="165"/>
      <c r="S40" s="165"/>
      <c r="T40" s="159"/>
      <c r="U40" s="160"/>
      <c r="V40" s="165"/>
      <c r="W40" s="165"/>
      <c r="X40" s="160"/>
      <c r="Y40" s="166"/>
      <c r="Z40" s="160"/>
      <c r="AA40" s="160"/>
      <c r="AB40" s="165"/>
      <c r="AC40" s="165"/>
      <c r="AD40" s="165"/>
      <c r="AE40" s="165"/>
      <c r="AF40" s="160"/>
      <c r="AG40" s="160"/>
      <c r="AH40" s="160"/>
      <c r="AI40" s="165"/>
      <c r="AJ40" s="161"/>
      <c r="AK40" s="162"/>
      <c r="AL40" s="165"/>
      <c r="AM40" s="166"/>
      <c r="AN40" s="165"/>
      <c r="AO40" s="165"/>
      <c r="AP40" s="162"/>
      <c r="AQ40" s="161"/>
      <c r="AR40" s="162"/>
      <c r="AS40" s="161"/>
      <c r="AT40" s="160">
        <f>283.475+618.12+17.0568+117.85187+228.43807</f>
        <v>1264.94174</v>
      </c>
      <c r="AU40" s="159"/>
      <c r="AV40" s="160"/>
      <c r="AW40" s="166"/>
      <c r="AX40" s="165"/>
      <c r="AY40" s="165"/>
      <c r="AZ40" s="165"/>
      <c r="BA40" s="165"/>
      <c r="BB40" s="166"/>
      <c r="BC40" s="165"/>
      <c r="BD40" s="165"/>
      <c r="BE40" s="165"/>
      <c r="BF40" s="165"/>
      <c r="BG40" s="165"/>
      <c r="BH40" s="165"/>
      <c r="BI40" s="165"/>
      <c r="BJ40" s="159"/>
      <c r="BK40" s="160"/>
      <c r="BL40" s="160"/>
      <c r="BM40" s="163"/>
      <c r="BN40" s="165"/>
      <c r="BO40" s="165"/>
      <c r="BP40" s="165"/>
      <c r="BQ40" s="167"/>
    </row>
    <row r="41" spans="1:69" ht="39.950000000000003" customHeight="1" outlineLevel="1" x14ac:dyDescent="0.3">
      <c r="A41" s="8" t="s">
        <v>5</v>
      </c>
      <c r="B41" s="8" t="s">
        <v>76</v>
      </c>
      <c r="C41" s="9" t="s">
        <v>73</v>
      </c>
      <c r="D41" s="66">
        <v>2401001051</v>
      </c>
      <c r="E41" s="158">
        <f t="shared" si="3"/>
        <v>2127.9742499999998</v>
      </c>
      <c r="F41" s="159">
        <f t="shared" si="1"/>
        <v>0</v>
      </c>
      <c r="G41" s="160">
        <f t="shared" si="2"/>
        <v>2127.9742499999998</v>
      </c>
      <c r="H41" s="166"/>
      <c r="I41" s="160"/>
      <c r="J41" s="165"/>
      <c r="K41" s="165"/>
      <c r="L41" s="159"/>
      <c r="M41" s="165"/>
      <c r="N41" s="165"/>
      <c r="O41" s="165"/>
      <c r="P41" s="160"/>
      <c r="Q41" s="166"/>
      <c r="R41" s="165"/>
      <c r="S41" s="165"/>
      <c r="T41" s="159"/>
      <c r="U41" s="160"/>
      <c r="V41" s="165"/>
      <c r="W41" s="165"/>
      <c r="X41" s="160"/>
      <c r="Y41" s="166"/>
      <c r="Z41" s="160"/>
      <c r="AA41" s="160"/>
      <c r="AB41" s="165"/>
      <c r="AC41" s="165"/>
      <c r="AD41" s="165"/>
      <c r="AE41" s="165"/>
      <c r="AF41" s="160"/>
      <c r="AG41" s="160"/>
      <c r="AH41" s="160"/>
      <c r="AI41" s="165"/>
      <c r="AJ41" s="161"/>
      <c r="AK41" s="162"/>
      <c r="AL41" s="165"/>
      <c r="AM41" s="166"/>
      <c r="AN41" s="165"/>
      <c r="AO41" s="165"/>
      <c r="AP41" s="162"/>
      <c r="AQ41" s="161"/>
      <c r="AR41" s="162"/>
      <c r="AS41" s="161"/>
      <c r="AT41" s="160">
        <f>456.912+941.6054+147.16368+381.78517</f>
        <v>1927.4662499999999</v>
      </c>
      <c r="AU41" s="159"/>
      <c r="AV41" s="160"/>
      <c r="AW41" s="166"/>
      <c r="AX41" s="165"/>
      <c r="AY41" s="165"/>
      <c r="AZ41" s="165"/>
      <c r="BA41" s="165"/>
      <c r="BB41" s="166"/>
      <c r="BC41" s="165"/>
      <c r="BD41" s="165"/>
      <c r="BE41" s="165"/>
      <c r="BF41" s="165"/>
      <c r="BG41" s="165"/>
      <c r="BH41" s="165"/>
      <c r="BI41" s="165"/>
      <c r="BJ41" s="159"/>
      <c r="BK41" s="160"/>
      <c r="BL41" s="160"/>
      <c r="BM41" s="163"/>
      <c r="BN41" s="165"/>
      <c r="BO41" s="165">
        <v>200.50800000000001</v>
      </c>
      <c r="BP41" s="165"/>
      <c r="BQ41" s="167"/>
    </row>
    <row r="42" spans="1:69" ht="39.950000000000003" customHeight="1" outlineLevel="1" x14ac:dyDescent="0.3">
      <c r="A42" s="11" t="s">
        <v>5</v>
      </c>
      <c r="B42" s="11" t="s">
        <v>7</v>
      </c>
      <c r="C42" s="9" t="s">
        <v>6</v>
      </c>
      <c r="D42" s="66" t="s">
        <v>8</v>
      </c>
      <c r="E42" s="158">
        <f t="shared" si="3"/>
        <v>83.637140000000002</v>
      </c>
      <c r="F42" s="159">
        <f t="shared" si="1"/>
        <v>0</v>
      </c>
      <c r="G42" s="160">
        <f t="shared" si="2"/>
        <v>83.637140000000002</v>
      </c>
      <c r="H42" s="166"/>
      <c r="I42" s="160"/>
      <c r="J42" s="165"/>
      <c r="K42" s="165"/>
      <c r="L42" s="159"/>
      <c r="M42" s="165"/>
      <c r="N42" s="165"/>
      <c r="O42" s="165"/>
      <c r="P42" s="160"/>
      <c r="Q42" s="166"/>
      <c r="R42" s="165"/>
      <c r="S42" s="165"/>
      <c r="T42" s="159"/>
      <c r="U42" s="160"/>
      <c r="V42" s="165"/>
      <c r="W42" s="165"/>
      <c r="X42" s="160"/>
      <c r="Y42" s="166"/>
      <c r="Z42" s="160"/>
      <c r="AA42" s="160"/>
      <c r="AB42" s="165"/>
      <c r="AC42" s="165"/>
      <c r="AD42" s="165"/>
      <c r="AE42" s="165"/>
      <c r="AF42" s="160"/>
      <c r="AG42" s="160"/>
      <c r="AH42" s="160"/>
      <c r="AI42" s="165"/>
      <c r="AJ42" s="161"/>
      <c r="AK42" s="162"/>
      <c r="AL42" s="165"/>
      <c r="AM42" s="166"/>
      <c r="AN42" s="165"/>
      <c r="AO42" s="165"/>
      <c r="AP42" s="162"/>
      <c r="AQ42" s="161"/>
      <c r="AR42" s="162"/>
      <c r="AS42" s="161"/>
      <c r="AT42" s="165"/>
      <c r="AU42" s="166"/>
      <c r="AV42" s="165"/>
      <c r="AW42" s="166"/>
      <c r="AX42" s="165"/>
      <c r="AY42" s="165"/>
      <c r="AZ42" s="165"/>
      <c r="BA42" s="165">
        <v>83.637140000000002</v>
      </c>
      <c r="BB42" s="166"/>
      <c r="BC42" s="165"/>
      <c r="BD42" s="165"/>
      <c r="BE42" s="165"/>
      <c r="BF42" s="165"/>
      <c r="BG42" s="165"/>
      <c r="BH42" s="165"/>
      <c r="BI42" s="165"/>
      <c r="BJ42" s="166"/>
      <c r="BK42" s="165"/>
      <c r="BL42" s="165"/>
      <c r="BM42" s="163"/>
      <c r="BN42" s="165"/>
      <c r="BO42" s="165"/>
      <c r="BP42" s="165"/>
      <c r="BQ42" s="167"/>
    </row>
    <row r="43" spans="1:69" ht="39.950000000000003" customHeight="1" outlineLevel="1" x14ac:dyDescent="0.3">
      <c r="A43" s="11" t="s">
        <v>5</v>
      </c>
      <c r="B43" s="11" t="s">
        <v>9</v>
      </c>
      <c r="C43" s="9" t="s">
        <v>6</v>
      </c>
      <c r="D43" s="66" t="s">
        <v>10</v>
      </c>
      <c r="E43" s="158">
        <f t="shared" si="3"/>
        <v>531.07521999999994</v>
      </c>
      <c r="F43" s="159">
        <f t="shared" si="1"/>
        <v>235.42198000000002</v>
      </c>
      <c r="G43" s="160">
        <f t="shared" si="2"/>
        <v>295.65323999999998</v>
      </c>
      <c r="H43" s="166">
        <v>93.297489999999996</v>
      </c>
      <c r="I43" s="160">
        <v>31.099160000000001</v>
      </c>
      <c r="J43" s="165"/>
      <c r="K43" s="165"/>
      <c r="L43" s="159">
        <v>142.12449000000001</v>
      </c>
      <c r="M43" s="165">
        <v>222.75407999999999</v>
      </c>
      <c r="N43" s="165"/>
      <c r="O43" s="165"/>
      <c r="P43" s="160"/>
      <c r="Q43" s="166"/>
      <c r="R43" s="165"/>
      <c r="S43" s="165"/>
      <c r="T43" s="159"/>
      <c r="U43" s="160"/>
      <c r="V43" s="165"/>
      <c r="W43" s="165"/>
      <c r="X43" s="160"/>
      <c r="Y43" s="166"/>
      <c r="Z43" s="160"/>
      <c r="AA43" s="160"/>
      <c r="AB43" s="165"/>
      <c r="AC43" s="165"/>
      <c r="AD43" s="165"/>
      <c r="AE43" s="165"/>
      <c r="AF43" s="160"/>
      <c r="AG43" s="160"/>
      <c r="AH43" s="160"/>
      <c r="AI43" s="165"/>
      <c r="AJ43" s="161"/>
      <c r="AK43" s="162"/>
      <c r="AL43" s="165"/>
      <c r="AM43" s="166"/>
      <c r="AN43" s="165"/>
      <c r="AO43" s="165"/>
      <c r="AP43" s="162"/>
      <c r="AQ43" s="161"/>
      <c r="AR43" s="162"/>
      <c r="AS43" s="161"/>
      <c r="AT43" s="165"/>
      <c r="AU43" s="166"/>
      <c r="AV43" s="165"/>
      <c r="AW43" s="166"/>
      <c r="AX43" s="165"/>
      <c r="AY43" s="165"/>
      <c r="AZ43" s="165"/>
      <c r="BA43" s="165"/>
      <c r="BB43" s="166"/>
      <c r="BC43" s="165"/>
      <c r="BD43" s="165"/>
      <c r="BE43" s="165"/>
      <c r="BF43" s="165"/>
      <c r="BG43" s="165">
        <v>41.8</v>
      </c>
      <c r="BH43" s="165"/>
      <c r="BI43" s="165"/>
      <c r="BJ43" s="166"/>
      <c r="BK43" s="165"/>
      <c r="BL43" s="165"/>
      <c r="BM43" s="163"/>
      <c r="BN43" s="165"/>
      <c r="BO43" s="165"/>
      <c r="BP43" s="165"/>
      <c r="BQ43" s="167"/>
    </row>
    <row r="44" spans="1:69" ht="39.950000000000003" customHeight="1" outlineLevel="1" x14ac:dyDescent="0.3">
      <c r="A44" s="11" t="s">
        <v>5</v>
      </c>
      <c r="B44" s="11" t="s">
        <v>11</v>
      </c>
      <c r="C44" s="9" t="s">
        <v>6</v>
      </c>
      <c r="D44" s="66" t="s">
        <v>12</v>
      </c>
      <c r="E44" s="158">
        <f t="shared" si="3"/>
        <v>3085.7731599999997</v>
      </c>
      <c r="F44" s="159">
        <f t="shared" si="1"/>
        <v>433.60104999999999</v>
      </c>
      <c r="G44" s="160">
        <f t="shared" si="2"/>
        <v>2652.17211</v>
      </c>
      <c r="H44" s="166">
        <v>93.297489999999996</v>
      </c>
      <c r="I44" s="160">
        <v>31.099160000000001</v>
      </c>
      <c r="J44" s="165"/>
      <c r="K44" s="165"/>
      <c r="L44" s="159">
        <v>340.30356</v>
      </c>
      <c r="M44" s="165">
        <v>533.36341000000004</v>
      </c>
      <c r="N44" s="165"/>
      <c r="O44" s="165"/>
      <c r="P44" s="160"/>
      <c r="Q44" s="166"/>
      <c r="R44" s="165"/>
      <c r="S44" s="165"/>
      <c r="T44" s="159"/>
      <c r="U44" s="160"/>
      <c r="V44" s="165"/>
      <c r="W44" s="165"/>
      <c r="X44" s="160"/>
      <c r="Y44" s="166"/>
      <c r="Z44" s="160"/>
      <c r="AA44" s="160"/>
      <c r="AB44" s="165"/>
      <c r="AC44" s="165"/>
      <c r="AD44" s="165"/>
      <c r="AE44" s="165"/>
      <c r="AF44" s="160"/>
      <c r="AG44" s="160"/>
      <c r="AH44" s="160"/>
      <c r="AI44" s="165"/>
      <c r="AJ44" s="161"/>
      <c r="AK44" s="162"/>
      <c r="AL44" s="165"/>
      <c r="AM44" s="166"/>
      <c r="AN44" s="165"/>
      <c r="AO44" s="165"/>
      <c r="AP44" s="162"/>
      <c r="AQ44" s="161"/>
      <c r="AR44" s="162"/>
      <c r="AS44" s="161"/>
      <c r="AT44" s="165"/>
      <c r="AU44" s="166"/>
      <c r="AV44" s="165"/>
      <c r="AW44" s="166"/>
      <c r="AX44" s="165"/>
      <c r="AY44" s="165"/>
      <c r="AZ44" s="165"/>
      <c r="BA44" s="165">
        <v>103.71504</v>
      </c>
      <c r="BB44" s="166"/>
      <c r="BC44" s="165"/>
      <c r="BD44" s="165"/>
      <c r="BE44" s="165"/>
      <c r="BF44" s="165"/>
      <c r="BG44" s="165"/>
      <c r="BH44" s="165">
        <v>1983.9945</v>
      </c>
      <c r="BI44" s="165"/>
      <c r="BJ44" s="166"/>
      <c r="BK44" s="165"/>
      <c r="BL44" s="165"/>
      <c r="BM44" s="163"/>
      <c r="BN44" s="165"/>
      <c r="BO44" s="165"/>
      <c r="BP44" s="165"/>
      <c r="BQ44" s="167"/>
    </row>
    <row r="45" spans="1:69" ht="39.950000000000003" customHeight="1" outlineLevel="1" x14ac:dyDescent="0.3">
      <c r="A45" s="11" t="s">
        <v>5</v>
      </c>
      <c r="B45" s="11" t="s">
        <v>13</v>
      </c>
      <c r="C45" s="9" t="s">
        <v>6</v>
      </c>
      <c r="D45" s="66" t="s">
        <v>14</v>
      </c>
      <c r="E45" s="158">
        <f t="shared" si="3"/>
        <v>831.87815999999998</v>
      </c>
      <c r="F45" s="159">
        <f t="shared" si="1"/>
        <v>324.02632999999997</v>
      </c>
      <c r="G45" s="160">
        <f t="shared" si="2"/>
        <v>507.85183000000001</v>
      </c>
      <c r="H45" s="166"/>
      <c r="I45" s="160"/>
      <c r="J45" s="165"/>
      <c r="K45" s="165"/>
      <c r="L45" s="159">
        <v>324.02632999999997</v>
      </c>
      <c r="M45" s="165">
        <v>507.85183000000001</v>
      </c>
      <c r="N45" s="165"/>
      <c r="O45" s="165"/>
      <c r="P45" s="160"/>
      <c r="Q45" s="166"/>
      <c r="R45" s="165"/>
      <c r="S45" s="165"/>
      <c r="T45" s="159"/>
      <c r="U45" s="160"/>
      <c r="V45" s="165"/>
      <c r="W45" s="165"/>
      <c r="X45" s="160"/>
      <c r="Y45" s="166"/>
      <c r="Z45" s="160"/>
      <c r="AA45" s="160"/>
      <c r="AB45" s="165"/>
      <c r="AC45" s="165"/>
      <c r="AD45" s="165"/>
      <c r="AE45" s="165"/>
      <c r="AF45" s="160"/>
      <c r="AG45" s="160"/>
      <c r="AH45" s="160"/>
      <c r="AI45" s="165"/>
      <c r="AJ45" s="161"/>
      <c r="AK45" s="162"/>
      <c r="AL45" s="165"/>
      <c r="AM45" s="166"/>
      <c r="AN45" s="165"/>
      <c r="AO45" s="165"/>
      <c r="AP45" s="162"/>
      <c r="AQ45" s="161"/>
      <c r="AR45" s="162"/>
      <c r="AS45" s="161"/>
      <c r="AT45" s="165"/>
      <c r="AU45" s="166"/>
      <c r="AV45" s="165"/>
      <c r="AW45" s="166"/>
      <c r="AX45" s="165"/>
      <c r="AY45" s="165"/>
      <c r="AZ45" s="165"/>
      <c r="BA45" s="165"/>
      <c r="BB45" s="166"/>
      <c r="BC45" s="165"/>
      <c r="BD45" s="165"/>
      <c r="BE45" s="165"/>
      <c r="BF45" s="165"/>
      <c r="BG45" s="165"/>
      <c r="BH45" s="165"/>
      <c r="BI45" s="165"/>
      <c r="BJ45" s="166"/>
      <c r="BK45" s="165"/>
      <c r="BL45" s="165"/>
      <c r="BM45" s="163"/>
      <c r="BN45" s="165"/>
      <c r="BO45" s="165"/>
      <c r="BP45" s="165"/>
      <c r="BQ45" s="167"/>
    </row>
    <row r="46" spans="1:69" ht="39.950000000000003" customHeight="1" outlineLevel="1" x14ac:dyDescent="0.3">
      <c r="A46" s="11" t="s">
        <v>5</v>
      </c>
      <c r="B46" s="11" t="s">
        <v>15</v>
      </c>
      <c r="C46" s="9" t="s">
        <v>6</v>
      </c>
      <c r="D46" s="66" t="s">
        <v>16</v>
      </c>
      <c r="E46" s="158">
        <f t="shared" si="3"/>
        <v>30897.687269999999</v>
      </c>
      <c r="F46" s="159">
        <f t="shared" si="1"/>
        <v>6460.5623400000004</v>
      </c>
      <c r="G46" s="160">
        <f t="shared" si="2"/>
        <v>24437.124929999998</v>
      </c>
      <c r="H46" s="166">
        <v>1279.95</v>
      </c>
      <c r="I46" s="160">
        <v>426.65</v>
      </c>
      <c r="J46" s="165">
        <v>340.8</v>
      </c>
      <c r="K46" s="165"/>
      <c r="L46" s="159">
        <v>1476.38948</v>
      </c>
      <c r="M46" s="165">
        <v>2313.9697099999998</v>
      </c>
      <c r="N46" s="165"/>
      <c r="O46" s="165"/>
      <c r="P46" s="160"/>
      <c r="Q46" s="166"/>
      <c r="R46" s="165"/>
      <c r="S46" s="165"/>
      <c r="T46" s="159"/>
      <c r="U46" s="160"/>
      <c r="V46" s="165"/>
      <c r="W46" s="165">
        <v>1896.96</v>
      </c>
      <c r="X46" s="160"/>
      <c r="Y46" s="166">
        <v>2998.0169999999998</v>
      </c>
      <c r="Z46" s="160">
        <v>999.33900000000006</v>
      </c>
      <c r="AA46" s="160">
        <v>12315.259889999999</v>
      </c>
      <c r="AB46" s="165"/>
      <c r="AC46" s="165"/>
      <c r="AD46" s="165"/>
      <c r="AE46" s="165"/>
      <c r="AF46" s="160"/>
      <c r="AG46" s="160"/>
      <c r="AH46" s="160"/>
      <c r="AI46" s="165"/>
      <c r="AJ46" s="161"/>
      <c r="AK46" s="162"/>
      <c r="AL46" s="165"/>
      <c r="AM46" s="166"/>
      <c r="AN46" s="165"/>
      <c r="AO46" s="165"/>
      <c r="AP46" s="162"/>
      <c r="AQ46" s="161"/>
      <c r="AR46" s="162"/>
      <c r="AS46" s="161"/>
      <c r="AT46" s="165"/>
      <c r="AU46" s="166"/>
      <c r="AV46" s="165"/>
      <c r="AW46" s="166">
        <f>104.30704+452.30234+149.59648</f>
        <v>706.20586000000003</v>
      </c>
      <c r="AX46" s="165">
        <f>7.27606+34.31886+11.31844+31.15665+135.1033+44.68467</f>
        <v>263.85798</v>
      </c>
      <c r="AY46" s="165">
        <v>5115.7660100000003</v>
      </c>
      <c r="AZ46" s="165">
        <v>109.48848</v>
      </c>
      <c r="BA46" s="165">
        <v>297.21625999999998</v>
      </c>
      <c r="BB46" s="166"/>
      <c r="BC46" s="165"/>
      <c r="BD46" s="165"/>
      <c r="BE46" s="165"/>
      <c r="BF46" s="165"/>
      <c r="BG46" s="165"/>
      <c r="BH46" s="165"/>
      <c r="BI46" s="165"/>
      <c r="BJ46" s="166"/>
      <c r="BK46" s="165"/>
      <c r="BL46" s="165"/>
      <c r="BM46" s="163"/>
      <c r="BN46" s="165"/>
      <c r="BO46" s="165">
        <v>357.81760000000003</v>
      </c>
      <c r="BP46" s="165"/>
      <c r="BQ46" s="167"/>
    </row>
    <row r="47" spans="1:69" ht="39.950000000000003" customHeight="1" outlineLevel="1" x14ac:dyDescent="0.3">
      <c r="A47" s="11" t="s">
        <v>5</v>
      </c>
      <c r="B47" s="11" t="s">
        <v>17</v>
      </c>
      <c r="C47" s="9" t="s">
        <v>6</v>
      </c>
      <c r="D47" s="66" t="s">
        <v>18</v>
      </c>
      <c r="E47" s="158">
        <f t="shared" si="3"/>
        <v>6510.9465499999997</v>
      </c>
      <c r="F47" s="159">
        <f t="shared" si="1"/>
        <v>1049.8247000000001</v>
      </c>
      <c r="G47" s="160">
        <f t="shared" si="2"/>
        <v>5461.1218499999995</v>
      </c>
      <c r="H47" s="166">
        <v>93.460499999999996</v>
      </c>
      <c r="I47" s="160">
        <v>31.153500000000001</v>
      </c>
      <c r="J47" s="165"/>
      <c r="K47" s="165"/>
      <c r="L47" s="159">
        <v>541.18820000000005</v>
      </c>
      <c r="M47" s="165">
        <v>848.21324000000004</v>
      </c>
      <c r="N47" s="165"/>
      <c r="O47" s="165"/>
      <c r="P47" s="160"/>
      <c r="Q47" s="166"/>
      <c r="R47" s="165"/>
      <c r="S47" s="165"/>
      <c r="T47" s="159"/>
      <c r="U47" s="160"/>
      <c r="V47" s="165"/>
      <c r="W47" s="165"/>
      <c r="X47" s="160"/>
      <c r="Y47" s="166">
        <v>415.17599999999999</v>
      </c>
      <c r="Z47" s="160">
        <v>138.392</v>
      </c>
      <c r="AA47" s="160">
        <v>2139.6417999999999</v>
      </c>
      <c r="AB47" s="165"/>
      <c r="AC47" s="165"/>
      <c r="AD47" s="165"/>
      <c r="AE47" s="165"/>
      <c r="AF47" s="160"/>
      <c r="AG47" s="160"/>
      <c r="AH47" s="160"/>
      <c r="AI47" s="165"/>
      <c r="AJ47" s="161"/>
      <c r="AK47" s="162"/>
      <c r="AL47" s="165"/>
      <c r="AM47" s="166"/>
      <c r="AN47" s="165"/>
      <c r="AO47" s="165"/>
      <c r="AP47" s="162"/>
      <c r="AQ47" s="161"/>
      <c r="AR47" s="162"/>
      <c r="AS47" s="161"/>
      <c r="AT47" s="165"/>
      <c r="AU47" s="166"/>
      <c r="AV47" s="165"/>
      <c r="AW47" s="166"/>
      <c r="AX47" s="165"/>
      <c r="AY47" s="165"/>
      <c r="AZ47" s="165"/>
      <c r="BA47" s="165"/>
      <c r="BB47" s="166"/>
      <c r="BC47" s="165"/>
      <c r="BD47" s="165"/>
      <c r="BE47" s="165">
        <v>11.430999999999999</v>
      </c>
      <c r="BF47" s="165">
        <v>753.74031000000002</v>
      </c>
      <c r="BG47" s="165">
        <v>88.55</v>
      </c>
      <c r="BH47" s="165">
        <v>1450</v>
      </c>
      <c r="BI47" s="165"/>
      <c r="BJ47" s="166"/>
      <c r="BK47" s="165"/>
      <c r="BL47" s="165"/>
      <c r="BM47" s="163"/>
      <c r="BN47" s="165"/>
      <c r="BO47" s="165"/>
      <c r="BP47" s="165"/>
      <c r="BQ47" s="167"/>
    </row>
    <row r="48" spans="1:69" ht="39.950000000000003" customHeight="1" outlineLevel="1" x14ac:dyDescent="0.3">
      <c r="A48" s="11" t="s">
        <v>5</v>
      </c>
      <c r="B48" s="11" t="s">
        <v>19</v>
      </c>
      <c r="C48" s="9" t="s">
        <v>6</v>
      </c>
      <c r="D48" s="66" t="s">
        <v>20</v>
      </c>
      <c r="E48" s="158">
        <f t="shared" si="3"/>
        <v>144.21447000000001</v>
      </c>
      <c r="F48" s="159">
        <f t="shared" si="1"/>
        <v>56.173229999999997</v>
      </c>
      <c r="G48" s="160">
        <f t="shared" si="2"/>
        <v>88.041240000000002</v>
      </c>
      <c r="H48" s="166"/>
      <c r="I48" s="160"/>
      <c r="J48" s="165"/>
      <c r="K48" s="165"/>
      <c r="L48" s="159">
        <v>56.173229999999997</v>
      </c>
      <c r="M48" s="165">
        <v>88.041240000000002</v>
      </c>
      <c r="N48" s="165"/>
      <c r="O48" s="165"/>
      <c r="P48" s="160"/>
      <c r="Q48" s="166"/>
      <c r="R48" s="165"/>
      <c r="S48" s="165"/>
      <c r="T48" s="159"/>
      <c r="U48" s="160"/>
      <c r="V48" s="165"/>
      <c r="W48" s="165"/>
      <c r="X48" s="160"/>
      <c r="Y48" s="166"/>
      <c r="Z48" s="160"/>
      <c r="AA48" s="160"/>
      <c r="AB48" s="165"/>
      <c r="AC48" s="165"/>
      <c r="AD48" s="165"/>
      <c r="AE48" s="165"/>
      <c r="AF48" s="160"/>
      <c r="AG48" s="160"/>
      <c r="AH48" s="160"/>
      <c r="AI48" s="165"/>
      <c r="AJ48" s="161"/>
      <c r="AK48" s="162"/>
      <c r="AL48" s="165"/>
      <c r="AM48" s="166"/>
      <c r="AN48" s="165"/>
      <c r="AO48" s="165"/>
      <c r="AP48" s="162"/>
      <c r="AQ48" s="161"/>
      <c r="AR48" s="162"/>
      <c r="AS48" s="161"/>
      <c r="AT48" s="165"/>
      <c r="AU48" s="166"/>
      <c r="AV48" s="165"/>
      <c r="AW48" s="166"/>
      <c r="AX48" s="165"/>
      <c r="AY48" s="165"/>
      <c r="AZ48" s="165"/>
      <c r="BA48" s="165"/>
      <c r="BB48" s="166"/>
      <c r="BC48" s="165"/>
      <c r="BD48" s="165"/>
      <c r="BE48" s="165"/>
      <c r="BF48" s="165"/>
      <c r="BG48" s="165"/>
      <c r="BH48" s="165"/>
      <c r="BI48" s="165"/>
      <c r="BJ48" s="166"/>
      <c r="BK48" s="165"/>
      <c r="BL48" s="165"/>
      <c r="BM48" s="163"/>
      <c r="BN48" s="165"/>
      <c r="BO48" s="165"/>
      <c r="BP48" s="165"/>
      <c r="BQ48" s="167"/>
    </row>
    <row r="49" spans="1:270" ht="39.950000000000003" customHeight="1" outlineLevel="1" x14ac:dyDescent="0.3">
      <c r="A49" s="11" t="s">
        <v>5</v>
      </c>
      <c r="B49" s="11" t="s">
        <v>21</v>
      </c>
      <c r="C49" s="9" t="s">
        <v>6</v>
      </c>
      <c r="D49" s="66" t="s">
        <v>22</v>
      </c>
      <c r="E49" s="158">
        <f t="shared" si="3"/>
        <v>458.71762000000001</v>
      </c>
      <c r="F49" s="159">
        <f t="shared" si="1"/>
        <v>192.14755000000002</v>
      </c>
      <c r="G49" s="160">
        <f t="shared" si="2"/>
        <v>266.57006999999999</v>
      </c>
      <c r="H49" s="166">
        <v>48.041849999999997</v>
      </c>
      <c r="I49" s="160">
        <v>16.013950000000001</v>
      </c>
      <c r="J49" s="165"/>
      <c r="K49" s="165"/>
      <c r="L49" s="159">
        <v>144.10570000000001</v>
      </c>
      <c r="M49" s="165">
        <v>225.85925</v>
      </c>
      <c r="N49" s="165"/>
      <c r="O49" s="165"/>
      <c r="P49" s="160"/>
      <c r="Q49" s="166"/>
      <c r="R49" s="165"/>
      <c r="S49" s="165"/>
      <c r="T49" s="159"/>
      <c r="U49" s="160"/>
      <c r="V49" s="165"/>
      <c r="W49" s="165"/>
      <c r="X49" s="160"/>
      <c r="Y49" s="166"/>
      <c r="Z49" s="160"/>
      <c r="AA49" s="160"/>
      <c r="AB49" s="165"/>
      <c r="AC49" s="165"/>
      <c r="AD49" s="165"/>
      <c r="AE49" s="165"/>
      <c r="AF49" s="160"/>
      <c r="AG49" s="160"/>
      <c r="AH49" s="160"/>
      <c r="AI49" s="165"/>
      <c r="AJ49" s="161"/>
      <c r="AK49" s="162"/>
      <c r="AL49" s="165"/>
      <c r="AM49" s="166"/>
      <c r="AN49" s="165"/>
      <c r="AO49" s="165"/>
      <c r="AP49" s="162"/>
      <c r="AQ49" s="161"/>
      <c r="AR49" s="162"/>
      <c r="AS49" s="161"/>
      <c r="AT49" s="165"/>
      <c r="AU49" s="166"/>
      <c r="AV49" s="165"/>
      <c r="AW49" s="166"/>
      <c r="AX49" s="165"/>
      <c r="AY49" s="165"/>
      <c r="AZ49" s="165"/>
      <c r="BA49" s="165">
        <v>24.696870000000001</v>
      </c>
      <c r="BB49" s="166"/>
      <c r="BC49" s="165"/>
      <c r="BD49" s="165"/>
      <c r="BE49" s="165"/>
      <c r="BF49" s="165"/>
      <c r="BG49" s="165"/>
      <c r="BH49" s="165"/>
      <c r="BI49" s="165"/>
      <c r="BJ49" s="166"/>
      <c r="BK49" s="165"/>
      <c r="BL49" s="165"/>
      <c r="BM49" s="163"/>
      <c r="BN49" s="165"/>
      <c r="BO49" s="165"/>
      <c r="BP49" s="165"/>
      <c r="BQ49" s="167"/>
    </row>
    <row r="50" spans="1:270" ht="39.950000000000003" customHeight="1" outlineLevel="1" x14ac:dyDescent="0.3">
      <c r="A50" s="11" t="s">
        <v>5</v>
      </c>
      <c r="B50" s="11" t="s">
        <v>23</v>
      </c>
      <c r="C50" s="9" t="s">
        <v>6</v>
      </c>
      <c r="D50" s="66" t="s">
        <v>24</v>
      </c>
      <c r="E50" s="158">
        <f t="shared" si="3"/>
        <v>3733.36886</v>
      </c>
      <c r="F50" s="159">
        <f t="shared" si="1"/>
        <v>411.61122999999998</v>
      </c>
      <c r="G50" s="160">
        <f t="shared" si="2"/>
        <v>3321.7576300000001</v>
      </c>
      <c r="H50" s="166"/>
      <c r="I50" s="160"/>
      <c r="J50" s="165"/>
      <c r="K50" s="165"/>
      <c r="L50" s="159">
        <v>411.61122999999998</v>
      </c>
      <c r="M50" s="165">
        <v>645.12510999999995</v>
      </c>
      <c r="N50" s="165"/>
      <c r="O50" s="165"/>
      <c r="P50" s="160"/>
      <c r="Q50" s="166"/>
      <c r="R50" s="165"/>
      <c r="S50" s="165"/>
      <c r="T50" s="159"/>
      <c r="U50" s="160"/>
      <c r="V50" s="165"/>
      <c r="W50" s="165"/>
      <c r="X50" s="160"/>
      <c r="Y50" s="166"/>
      <c r="Z50" s="160"/>
      <c r="AA50" s="160"/>
      <c r="AB50" s="165"/>
      <c r="AC50" s="165"/>
      <c r="AD50" s="165"/>
      <c r="AE50" s="165"/>
      <c r="AF50" s="160"/>
      <c r="AG50" s="160"/>
      <c r="AH50" s="160"/>
      <c r="AI50" s="165"/>
      <c r="AJ50" s="161"/>
      <c r="AK50" s="162"/>
      <c r="AL50" s="165"/>
      <c r="AM50" s="166"/>
      <c r="AN50" s="165"/>
      <c r="AO50" s="165"/>
      <c r="AP50" s="162"/>
      <c r="AQ50" s="161"/>
      <c r="AR50" s="162"/>
      <c r="AS50" s="161"/>
      <c r="AT50" s="165"/>
      <c r="AU50" s="166"/>
      <c r="AV50" s="165"/>
      <c r="AW50" s="166"/>
      <c r="AX50" s="170"/>
      <c r="AY50" s="170"/>
      <c r="AZ50" s="165"/>
      <c r="BA50" s="165"/>
      <c r="BB50" s="166"/>
      <c r="BC50" s="165"/>
      <c r="BD50" s="165"/>
      <c r="BE50" s="165">
        <v>649.93251999999995</v>
      </c>
      <c r="BF50" s="165"/>
      <c r="BG50" s="165">
        <v>26.7</v>
      </c>
      <c r="BH50" s="165">
        <v>2000</v>
      </c>
      <c r="BI50" s="165"/>
      <c r="BJ50" s="166"/>
      <c r="BK50" s="165"/>
      <c r="BL50" s="165"/>
      <c r="BM50" s="163"/>
      <c r="BN50" s="165"/>
      <c r="BO50" s="165"/>
      <c r="BP50" s="165"/>
      <c r="BQ50" s="167"/>
    </row>
    <row r="51" spans="1:270" ht="39.950000000000003" customHeight="1" outlineLevel="1" x14ac:dyDescent="0.3">
      <c r="A51" s="11" t="s">
        <v>5</v>
      </c>
      <c r="B51" s="11" t="s">
        <v>25</v>
      </c>
      <c r="C51" s="9" t="s">
        <v>6</v>
      </c>
      <c r="D51" s="66" t="s">
        <v>26</v>
      </c>
      <c r="E51" s="158">
        <f t="shared" si="3"/>
        <v>103.39991000000001</v>
      </c>
      <c r="F51" s="159">
        <f t="shared" si="1"/>
        <v>50.142040000000001</v>
      </c>
      <c r="G51" s="160">
        <f t="shared" si="2"/>
        <v>53.257870000000004</v>
      </c>
      <c r="H51" s="166">
        <v>20.5275</v>
      </c>
      <c r="I51" s="160">
        <v>6.8425000000000002</v>
      </c>
      <c r="J51" s="165"/>
      <c r="K51" s="165"/>
      <c r="L51" s="159">
        <v>29.614540000000002</v>
      </c>
      <c r="M51" s="165">
        <v>46.415370000000003</v>
      </c>
      <c r="N51" s="165"/>
      <c r="O51" s="165"/>
      <c r="P51" s="160"/>
      <c r="Q51" s="166"/>
      <c r="R51" s="165"/>
      <c r="S51" s="165"/>
      <c r="T51" s="159"/>
      <c r="U51" s="160"/>
      <c r="V51" s="165"/>
      <c r="W51" s="165"/>
      <c r="X51" s="160"/>
      <c r="Y51" s="166"/>
      <c r="Z51" s="160"/>
      <c r="AA51" s="160"/>
      <c r="AB51" s="165"/>
      <c r="AC51" s="165"/>
      <c r="AD51" s="165"/>
      <c r="AE51" s="165"/>
      <c r="AF51" s="160"/>
      <c r="AG51" s="160"/>
      <c r="AH51" s="160"/>
      <c r="AI51" s="165"/>
      <c r="AJ51" s="161"/>
      <c r="AK51" s="162"/>
      <c r="AL51" s="165"/>
      <c r="AM51" s="166"/>
      <c r="AN51" s="165"/>
      <c r="AO51" s="165"/>
      <c r="AP51" s="162"/>
      <c r="AQ51" s="161"/>
      <c r="AR51" s="162"/>
      <c r="AS51" s="161"/>
      <c r="AT51" s="165"/>
      <c r="AU51" s="166"/>
      <c r="AV51" s="165"/>
      <c r="AW51" s="166"/>
      <c r="AX51" s="165"/>
      <c r="AY51" s="165"/>
      <c r="AZ51" s="165"/>
      <c r="BA51" s="165"/>
      <c r="BB51" s="166"/>
      <c r="BC51" s="165"/>
      <c r="BD51" s="165"/>
      <c r="BE51" s="165"/>
      <c r="BF51" s="165"/>
      <c r="BG51" s="165"/>
      <c r="BH51" s="165"/>
      <c r="BI51" s="165"/>
      <c r="BJ51" s="166"/>
      <c r="BK51" s="165"/>
      <c r="BL51" s="165"/>
      <c r="BM51" s="163"/>
      <c r="BN51" s="165"/>
      <c r="BO51" s="165"/>
      <c r="BP51" s="165"/>
      <c r="BQ51" s="167"/>
    </row>
    <row r="52" spans="1:270" s="34" customFormat="1" ht="27.75" customHeight="1" x14ac:dyDescent="0.3">
      <c r="A52" s="124" t="s">
        <v>79</v>
      </c>
      <c r="B52" s="125"/>
      <c r="C52" s="116" t="s">
        <v>80</v>
      </c>
      <c r="D52" s="117"/>
      <c r="E52" s="171">
        <f t="shared" ref="E52:AI52" si="4">SUBTOTAL(9,E6:E51)</f>
        <v>82585.495139999985</v>
      </c>
      <c r="F52" s="171">
        <f t="shared" si="4"/>
        <v>14676.934100000004</v>
      </c>
      <c r="G52" s="171">
        <f t="shared" si="4"/>
        <v>67908.561039999986</v>
      </c>
      <c r="H52" s="171">
        <f t="shared" si="4"/>
        <v>2373.8528100000003</v>
      </c>
      <c r="I52" s="171">
        <f t="shared" si="4"/>
        <v>791.28427999999997</v>
      </c>
      <c r="J52" s="171">
        <f t="shared" si="4"/>
        <v>791.85599999999999</v>
      </c>
      <c r="K52" s="171">
        <f t="shared" si="4"/>
        <v>0</v>
      </c>
      <c r="L52" s="171">
        <f t="shared" si="4"/>
        <v>6304.4747600000001</v>
      </c>
      <c r="M52" s="171">
        <f t="shared" si="4"/>
        <v>9881.1078099999995</v>
      </c>
      <c r="N52" s="171">
        <f t="shared" si="4"/>
        <v>0</v>
      </c>
      <c r="O52" s="171">
        <f>SUBTOTAL(9,O6:O51)</f>
        <v>0</v>
      </c>
      <c r="P52" s="171">
        <f>SUBTOTAL(9,P6:P51)</f>
        <v>0</v>
      </c>
      <c r="Q52" s="171">
        <f t="shared" si="4"/>
        <v>0</v>
      </c>
      <c r="R52" s="171">
        <f t="shared" si="4"/>
        <v>0</v>
      </c>
      <c r="S52" s="171">
        <f t="shared" si="4"/>
        <v>0</v>
      </c>
      <c r="T52" s="171">
        <f>SUBTOTAL(9,T6:T51)</f>
        <v>0</v>
      </c>
      <c r="U52" s="171">
        <f>SUBTOTAL(9,U6:U51)</f>
        <v>0</v>
      </c>
      <c r="V52" s="171">
        <f t="shared" si="4"/>
        <v>0</v>
      </c>
      <c r="W52" s="171">
        <f t="shared" si="4"/>
        <v>2604.16</v>
      </c>
      <c r="X52" s="171">
        <f>SUBTOTAL(9,X6:X51)</f>
        <v>0</v>
      </c>
      <c r="Y52" s="171">
        <f t="shared" si="4"/>
        <v>5120.1270000000004</v>
      </c>
      <c r="Z52" s="171">
        <f t="shared" si="4"/>
        <v>1706.7090000000001</v>
      </c>
      <c r="AA52" s="171">
        <f t="shared" si="4"/>
        <v>23025.786080000002</v>
      </c>
      <c r="AB52" s="171">
        <f t="shared" si="4"/>
        <v>0</v>
      </c>
      <c r="AC52" s="171">
        <f t="shared" si="4"/>
        <v>0</v>
      </c>
      <c r="AD52" s="171">
        <f>SUBTOTAL(9,AD6:AD51)</f>
        <v>0</v>
      </c>
      <c r="AE52" s="171">
        <f t="shared" si="4"/>
        <v>0</v>
      </c>
      <c r="AF52" s="171">
        <f t="shared" si="4"/>
        <v>0</v>
      </c>
      <c r="AG52" s="171">
        <f t="shared" si="4"/>
        <v>21.913340000000002</v>
      </c>
      <c r="AH52" s="171">
        <f t="shared" si="4"/>
        <v>0</v>
      </c>
      <c r="AI52" s="171">
        <f t="shared" si="4"/>
        <v>0</v>
      </c>
      <c r="AJ52" s="171">
        <f t="shared" ref="AJ52:BQ52" si="5">SUBTOTAL(9,AJ6:AJ51)</f>
        <v>0</v>
      </c>
      <c r="AK52" s="171">
        <f t="shared" si="5"/>
        <v>0</v>
      </c>
      <c r="AL52" s="171">
        <f t="shared" si="5"/>
        <v>0</v>
      </c>
      <c r="AM52" s="171">
        <f>SUBTOTAL(9,AM6:AM51)</f>
        <v>0</v>
      </c>
      <c r="AN52" s="171">
        <f>SUBTOTAL(9,AN6:AN51)</f>
        <v>0</v>
      </c>
      <c r="AO52" s="171">
        <f>SUBTOTAL(9,AO6:AO51)</f>
        <v>0</v>
      </c>
      <c r="AP52" s="171">
        <f t="shared" si="5"/>
        <v>0</v>
      </c>
      <c r="AQ52" s="171">
        <f t="shared" si="5"/>
        <v>0</v>
      </c>
      <c r="AR52" s="171">
        <f t="shared" si="5"/>
        <v>0</v>
      </c>
      <c r="AS52" s="171">
        <f t="shared" si="5"/>
        <v>0</v>
      </c>
      <c r="AT52" s="171">
        <f>SUBTOTAL(9,AT6:AT51)</f>
        <v>4279.2217299999993</v>
      </c>
      <c r="AU52" s="171">
        <f t="shared" si="5"/>
        <v>0</v>
      </c>
      <c r="AV52" s="171">
        <f t="shared" si="5"/>
        <v>0</v>
      </c>
      <c r="AW52" s="171">
        <f t="shared" si="5"/>
        <v>878.47953000000007</v>
      </c>
      <c r="AX52" s="171">
        <f t="shared" si="5"/>
        <v>346.26414</v>
      </c>
      <c r="AY52" s="171">
        <f t="shared" si="5"/>
        <v>5115.7660100000003</v>
      </c>
      <c r="AZ52" s="171">
        <f t="shared" si="5"/>
        <v>109.48848</v>
      </c>
      <c r="BA52" s="171">
        <f t="shared" si="5"/>
        <v>713.5485799999999</v>
      </c>
      <c r="BB52" s="171">
        <f t="shared" si="5"/>
        <v>0</v>
      </c>
      <c r="BC52" s="171">
        <f t="shared" si="5"/>
        <v>0</v>
      </c>
      <c r="BD52" s="171">
        <f t="shared" si="5"/>
        <v>0</v>
      </c>
      <c r="BE52" s="171">
        <f t="shared" si="5"/>
        <v>2607.1251000000002</v>
      </c>
      <c r="BF52" s="171">
        <f t="shared" si="5"/>
        <v>3726.5190600000001</v>
      </c>
      <c r="BG52" s="171">
        <f t="shared" si="5"/>
        <v>157.04999999999998</v>
      </c>
      <c r="BH52" s="171">
        <f t="shared" si="5"/>
        <v>10025.96197</v>
      </c>
      <c r="BI52" s="171">
        <f t="shared" si="5"/>
        <v>0</v>
      </c>
      <c r="BJ52" s="171">
        <f t="shared" si="5"/>
        <v>0</v>
      </c>
      <c r="BK52" s="171">
        <f t="shared" si="5"/>
        <v>0</v>
      </c>
      <c r="BL52" s="171">
        <f t="shared" si="5"/>
        <v>0</v>
      </c>
      <c r="BM52" s="172">
        <f>SUBTOTAL(9,BM6:BM51)</f>
        <v>0</v>
      </c>
      <c r="BN52" s="171">
        <f t="shared" si="5"/>
        <v>0</v>
      </c>
      <c r="BO52" s="171">
        <f t="shared" si="5"/>
        <v>2004.7994600000002</v>
      </c>
      <c r="BP52" s="171">
        <f t="shared" si="5"/>
        <v>0</v>
      </c>
      <c r="BQ52" s="172">
        <f t="shared" si="5"/>
        <v>0</v>
      </c>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c r="DV52" s="40"/>
      <c r="DW52" s="40"/>
      <c r="DX52" s="40"/>
      <c r="DY52" s="40"/>
      <c r="DZ52" s="40"/>
      <c r="EA52" s="40"/>
      <c r="EB52" s="40"/>
      <c r="EC52" s="40"/>
      <c r="ED52" s="40"/>
      <c r="EE52" s="40"/>
      <c r="EF52" s="40"/>
      <c r="EG52" s="40"/>
      <c r="EH52" s="40"/>
      <c r="EI52" s="40"/>
      <c r="EJ52" s="40"/>
      <c r="EK52" s="40"/>
      <c r="EL52" s="40"/>
      <c r="EM52" s="40"/>
      <c r="EN52" s="40"/>
      <c r="EO52" s="40"/>
      <c r="EP52" s="40"/>
      <c r="EQ52" s="40"/>
      <c r="ER52" s="40"/>
      <c r="ES52" s="40"/>
      <c r="ET52" s="40"/>
      <c r="EU52" s="40"/>
      <c r="EV52" s="40"/>
      <c r="EW52" s="40"/>
      <c r="EX52" s="40"/>
      <c r="EY52" s="40"/>
      <c r="EZ52" s="40"/>
      <c r="FA52" s="40"/>
      <c r="FB52" s="40"/>
      <c r="FC52" s="40"/>
      <c r="FD52" s="40"/>
      <c r="FE52" s="40"/>
      <c r="FF52" s="40"/>
      <c r="FG52" s="40"/>
      <c r="FH52" s="40"/>
      <c r="FI52" s="40"/>
      <c r="FJ52" s="40"/>
      <c r="FK52" s="40"/>
      <c r="FL52" s="40"/>
      <c r="FM52" s="40"/>
      <c r="FN52" s="40"/>
      <c r="FO52" s="40"/>
      <c r="FP52" s="40"/>
      <c r="FQ52" s="40"/>
      <c r="FR52" s="40"/>
      <c r="FS52" s="40"/>
      <c r="FT52" s="40"/>
      <c r="FU52" s="40"/>
      <c r="FV52" s="40"/>
      <c r="FW52" s="40"/>
      <c r="FX52" s="40"/>
      <c r="FY52" s="40"/>
      <c r="FZ52" s="40"/>
      <c r="GA52" s="40"/>
      <c r="GB52" s="40"/>
      <c r="GC52" s="40"/>
      <c r="GD52" s="40"/>
      <c r="GE52" s="40"/>
      <c r="GF52" s="40"/>
      <c r="GG52" s="40"/>
      <c r="GH52" s="40"/>
      <c r="GI52" s="40"/>
      <c r="GJ52" s="40"/>
      <c r="GK52" s="40"/>
      <c r="GL52" s="40"/>
      <c r="GM52" s="40"/>
      <c r="GN52" s="40"/>
      <c r="GO52" s="40"/>
      <c r="GP52" s="40"/>
      <c r="GQ52" s="40"/>
      <c r="GR52" s="40"/>
      <c r="GS52" s="40"/>
      <c r="GT52" s="40"/>
      <c r="GU52" s="40"/>
      <c r="GV52" s="40"/>
      <c r="GW52" s="40"/>
      <c r="GX52" s="40"/>
      <c r="GY52" s="40"/>
      <c r="GZ52" s="40"/>
      <c r="HA52" s="40"/>
      <c r="HB52" s="40"/>
      <c r="HC52" s="40"/>
      <c r="HD52" s="40"/>
      <c r="HE52" s="40"/>
      <c r="HF52" s="40"/>
      <c r="HG52" s="40"/>
      <c r="HH52" s="40"/>
      <c r="HI52" s="40"/>
      <c r="HJ52" s="40"/>
      <c r="HK52" s="40"/>
      <c r="HL52" s="40"/>
      <c r="HM52" s="40"/>
      <c r="HN52" s="40"/>
      <c r="HO52" s="40"/>
      <c r="HP52" s="40"/>
      <c r="HQ52" s="40"/>
      <c r="HR52" s="40"/>
      <c r="HS52" s="40"/>
      <c r="HT52" s="40"/>
      <c r="HU52" s="40"/>
      <c r="HV52" s="40"/>
      <c r="HW52" s="40"/>
      <c r="HX52" s="40"/>
      <c r="HY52" s="40"/>
      <c r="HZ52" s="40"/>
      <c r="IA52" s="40"/>
      <c r="IB52" s="40"/>
      <c r="IC52" s="40"/>
      <c r="ID52" s="40"/>
      <c r="IE52" s="40"/>
      <c r="IF52" s="40"/>
      <c r="IG52" s="40"/>
      <c r="IH52" s="40"/>
      <c r="II52" s="40"/>
      <c r="IJ52" s="40"/>
      <c r="IK52" s="40"/>
      <c r="IL52" s="40"/>
      <c r="IM52" s="40"/>
      <c r="IN52" s="40"/>
      <c r="IO52" s="40"/>
      <c r="IP52" s="40"/>
      <c r="IQ52" s="40"/>
      <c r="IR52" s="40"/>
      <c r="IS52" s="40"/>
      <c r="IT52" s="40"/>
      <c r="IU52" s="40"/>
      <c r="IV52" s="40"/>
      <c r="IW52" s="40"/>
      <c r="IX52" s="40"/>
      <c r="IY52" s="40"/>
      <c r="IZ52" s="40"/>
      <c r="JA52" s="40"/>
      <c r="JB52" s="40"/>
      <c r="JC52" s="40"/>
      <c r="JD52" s="40"/>
      <c r="JE52" s="40"/>
      <c r="JF52" s="40"/>
      <c r="JG52" s="40"/>
      <c r="JH52" s="40"/>
      <c r="JI52" s="40"/>
      <c r="JJ52" s="40"/>
    </row>
    <row r="53" spans="1:270" ht="40.5" outlineLevel="1" x14ac:dyDescent="0.3">
      <c r="A53" s="15" t="s">
        <v>81</v>
      </c>
      <c r="B53" s="16" t="s">
        <v>89</v>
      </c>
      <c r="C53" s="9" t="s">
        <v>30</v>
      </c>
      <c r="D53" s="66" t="s">
        <v>90</v>
      </c>
      <c r="E53" s="158">
        <f t="shared" ref="E53:E67" si="6">F53+G53</f>
        <v>186.99442999999997</v>
      </c>
      <c r="F53" s="159">
        <f t="shared" ref="F53:F67" si="7">H53+L53+Q53+Y53+T53+AK53+AP53+AM53+AR53+AU53+AW53+BB53+BJ53</f>
        <v>23.91677</v>
      </c>
      <c r="G53" s="160">
        <f t="shared" ref="G53:G67" si="8">I53+J53+K53+M53+N53+R53+S53+V53+W53+AD53+O53+X53+Z53+AA53+AB53+AC53+AE53+AF53+P53+U53+AG53+AH53+AI53+AO53+AJ53+AL53+AQ53+AN53+AS53+AV53+AX53+AY53+AZ53+BA53+BC53+BD53+BE53+BF53+BG53+BH53+BI53+AT53+BK53+BL53+BN53+BO53+BP53+BQ53+BM53</f>
        <v>163.07765999999998</v>
      </c>
      <c r="H53" s="166"/>
      <c r="I53" s="160"/>
      <c r="J53" s="165"/>
      <c r="K53" s="165"/>
      <c r="L53" s="166">
        <v>23.91677</v>
      </c>
      <c r="M53" s="165">
        <v>37.48516</v>
      </c>
      <c r="N53" s="165"/>
      <c r="O53" s="165"/>
      <c r="P53" s="160"/>
      <c r="Q53" s="166"/>
      <c r="R53" s="165"/>
      <c r="S53" s="165">
        <v>55.98</v>
      </c>
      <c r="T53" s="159"/>
      <c r="U53" s="160"/>
      <c r="V53" s="165"/>
      <c r="W53" s="165"/>
      <c r="X53" s="160"/>
      <c r="Y53" s="166"/>
      <c r="Z53" s="160"/>
      <c r="AA53" s="160">
        <v>69.612499999999997</v>
      </c>
      <c r="AB53" s="165"/>
      <c r="AC53" s="165"/>
      <c r="AD53" s="165"/>
      <c r="AE53" s="165"/>
      <c r="AF53" s="160"/>
      <c r="AG53" s="160"/>
      <c r="AH53" s="160"/>
      <c r="AI53" s="165"/>
      <c r="AJ53" s="161"/>
      <c r="AK53" s="162"/>
      <c r="AL53" s="165"/>
      <c r="AM53" s="166"/>
      <c r="AN53" s="165"/>
      <c r="AO53" s="165"/>
      <c r="AP53" s="162"/>
      <c r="AQ53" s="161"/>
      <c r="AR53" s="162"/>
      <c r="AS53" s="161"/>
      <c r="AT53" s="165"/>
      <c r="AU53" s="166"/>
      <c r="AV53" s="165"/>
      <c r="AW53" s="166"/>
      <c r="AX53" s="165"/>
      <c r="AY53" s="165"/>
      <c r="AZ53" s="165"/>
      <c r="BA53" s="165"/>
      <c r="BB53" s="166"/>
      <c r="BC53" s="165"/>
      <c r="BD53" s="165"/>
      <c r="BE53" s="165"/>
      <c r="BF53" s="165"/>
      <c r="BG53" s="165"/>
      <c r="BH53" s="165"/>
      <c r="BI53" s="165"/>
      <c r="BJ53" s="166"/>
      <c r="BK53" s="165"/>
      <c r="BL53" s="165"/>
      <c r="BM53" s="163"/>
      <c r="BN53" s="165"/>
      <c r="BO53" s="165"/>
      <c r="BP53" s="165"/>
      <c r="BQ53" s="167"/>
    </row>
    <row r="54" spans="1:270" ht="40.5" outlineLevel="1" x14ac:dyDescent="0.3">
      <c r="A54" s="15" t="s">
        <v>81</v>
      </c>
      <c r="B54" s="16" t="s">
        <v>91</v>
      </c>
      <c r="C54" s="9" t="s">
        <v>30</v>
      </c>
      <c r="D54" s="66" t="s">
        <v>92</v>
      </c>
      <c r="E54" s="158">
        <f t="shared" si="6"/>
        <v>181.81056000000001</v>
      </c>
      <c r="F54" s="159">
        <f t="shared" si="7"/>
        <v>39.057410000000004</v>
      </c>
      <c r="G54" s="160">
        <f t="shared" si="8"/>
        <v>142.75315000000001</v>
      </c>
      <c r="H54" s="166"/>
      <c r="I54" s="160"/>
      <c r="J54" s="165"/>
      <c r="K54" s="165"/>
      <c r="L54" s="166">
        <v>12.50141</v>
      </c>
      <c r="M54" s="165">
        <v>19.593669999999999</v>
      </c>
      <c r="N54" s="165"/>
      <c r="O54" s="165"/>
      <c r="P54" s="160"/>
      <c r="Q54" s="166"/>
      <c r="R54" s="165"/>
      <c r="S54" s="165"/>
      <c r="T54" s="159"/>
      <c r="U54" s="160"/>
      <c r="V54" s="165"/>
      <c r="W54" s="165"/>
      <c r="X54" s="160"/>
      <c r="Y54" s="166">
        <v>26.556000000000001</v>
      </c>
      <c r="Z54" s="160">
        <v>8.8520000000000003</v>
      </c>
      <c r="AA54" s="160">
        <v>114.30748</v>
      </c>
      <c r="AB54" s="165"/>
      <c r="AC54" s="165"/>
      <c r="AD54" s="165"/>
      <c r="AE54" s="165"/>
      <c r="AF54" s="160"/>
      <c r="AG54" s="160"/>
      <c r="AH54" s="160"/>
      <c r="AI54" s="165"/>
      <c r="AJ54" s="161"/>
      <c r="AK54" s="162"/>
      <c r="AL54" s="165"/>
      <c r="AM54" s="166"/>
      <c r="AN54" s="165"/>
      <c r="AO54" s="165"/>
      <c r="AP54" s="162"/>
      <c r="AQ54" s="161"/>
      <c r="AR54" s="162"/>
      <c r="AS54" s="161"/>
      <c r="AT54" s="165"/>
      <c r="AU54" s="166"/>
      <c r="AV54" s="165"/>
      <c r="AW54" s="166"/>
      <c r="AX54" s="165"/>
      <c r="AY54" s="165"/>
      <c r="AZ54" s="165"/>
      <c r="BA54" s="165"/>
      <c r="BB54" s="166"/>
      <c r="BC54" s="165"/>
      <c r="BD54" s="165"/>
      <c r="BE54" s="165"/>
      <c r="BF54" s="165"/>
      <c r="BG54" s="165"/>
      <c r="BH54" s="165"/>
      <c r="BI54" s="165"/>
      <c r="BJ54" s="166"/>
      <c r="BK54" s="165"/>
      <c r="BL54" s="165"/>
      <c r="BM54" s="163"/>
      <c r="BN54" s="165"/>
      <c r="BO54" s="165"/>
      <c r="BP54" s="165"/>
      <c r="BQ54" s="167"/>
    </row>
    <row r="55" spans="1:270" ht="40.5" outlineLevel="1" x14ac:dyDescent="0.3">
      <c r="A55" s="15" t="s">
        <v>81</v>
      </c>
      <c r="B55" s="16" t="s">
        <v>93</v>
      </c>
      <c r="C55" s="9" t="s">
        <v>30</v>
      </c>
      <c r="D55" s="66" t="s">
        <v>94</v>
      </c>
      <c r="E55" s="158">
        <f t="shared" si="6"/>
        <v>1088.4785099999999</v>
      </c>
      <c r="F55" s="159">
        <f t="shared" si="7"/>
        <v>187.70250999999999</v>
      </c>
      <c r="G55" s="160">
        <f t="shared" si="8"/>
        <v>900.77599999999995</v>
      </c>
      <c r="H55" s="166"/>
      <c r="I55" s="160"/>
      <c r="J55" s="165"/>
      <c r="K55" s="165"/>
      <c r="L55" s="166"/>
      <c r="M55" s="165"/>
      <c r="N55" s="165"/>
      <c r="O55" s="165"/>
      <c r="P55" s="160"/>
      <c r="Q55" s="166"/>
      <c r="R55" s="165"/>
      <c r="S55" s="165"/>
      <c r="T55" s="159"/>
      <c r="U55" s="160"/>
      <c r="V55" s="165"/>
      <c r="W55" s="165"/>
      <c r="X55" s="160"/>
      <c r="Y55" s="166">
        <v>187.70250999999999</v>
      </c>
      <c r="Z55" s="160">
        <v>62.567500000000003</v>
      </c>
      <c r="AA55" s="160">
        <v>838.20849999999996</v>
      </c>
      <c r="AB55" s="165"/>
      <c r="AC55" s="165"/>
      <c r="AD55" s="165"/>
      <c r="AE55" s="165"/>
      <c r="AF55" s="160"/>
      <c r="AG55" s="160"/>
      <c r="AH55" s="160"/>
      <c r="AI55" s="165"/>
      <c r="AJ55" s="161"/>
      <c r="AK55" s="162"/>
      <c r="AL55" s="165"/>
      <c r="AM55" s="166"/>
      <c r="AN55" s="165"/>
      <c r="AO55" s="165"/>
      <c r="AP55" s="162"/>
      <c r="AQ55" s="161"/>
      <c r="AR55" s="162"/>
      <c r="AS55" s="161"/>
      <c r="AT55" s="165"/>
      <c r="AU55" s="166"/>
      <c r="AV55" s="165"/>
      <c r="AW55" s="166"/>
      <c r="AX55" s="165"/>
      <c r="AY55" s="165"/>
      <c r="AZ55" s="165"/>
      <c r="BA55" s="165"/>
      <c r="BB55" s="166"/>
      <c r="BC55" s="165"/>
      <c r="BD55" s="165"/>
      <c r="BE55" s="165"/>
      <c r="BF55" s="165"/>
      <c r="BG55" s="165"/>
      <c r="BH55" s="165"/>
      <c r="BI55" s="165"/>
      <c r="BJ55" s="166"/>
      <c r="BK55" s="165"/>
      <c r="BL55" s="165"/>
      <c r="BM55" s="163"/>
      <c r="BN55" s="165"/>
      <c r="BO55" s="165"/>
      <c r="BP55" s="165"/>
      <c r="BQ55" s="167"/>
    </row>
    <row r="56" spans="1:270" ht="40.5" outlineLevel="1" x14ac:dyDescent="0.3">
      <c r="A56" s="15" t="s">
        <v>81</v>
      </c>
      <c r="B56" s="12" t="s">
        <v>1404</v>
      </c>
      <c r="C56" s="9" t="s">
        <v>30</v>
      </c>
      <c r="D56" s="66">
        <v>244305545938</v>
      </c>
      <c r="E56" s="158">
        <f t="shared" si="6"/>
        <v>85.787480000000002</v>
      </c>
      <c r="F56" s="159">
        <f t="shared" si="7"/>
        <v>14.145</v>
      </c>
      <c r="G56" s="160">
        <f t="shared" si="8"/>
        <v>71.642480000000006</v>
      </c>
      <c r="H56" s="166"/>
      <c r="I56" s="160"/>
      <c r="J56" s="165"/>
      <c r="K56" s="165"/>
      <c r="L56" s="166"/>
      <c r="M56" s="165"/>
      <c r="N56" s="165"/>
      <c r="O56" s="165"/>
      <c r="P56" s="160"/>
      <c r="Q56" s="166"/>
      <c r="R56" s="165"/>
      <c r="S56" s="165"/>
      <c r="T56" s="159"/>
      <c r="U56" s="160"/>
      <c r="V56" s="165"/>
      <c r="W56" s="165"/>
      <c r="X56" s="160"/>
      <c r="Y56" s="166">
        <v>14.145</v>
      </c>
      <c r="Z56" s="160">
        <v>4.7149999999999999</v>
      </c>
      <c r="AA56" s="160">
        <v>66.927480000000003</v>
      </c>
      <c r="AB56" s="165"/>
      <c r="AC56" s="165"/>
      <c r="AD56" s="165"/>
      <c r="AE56" s="165"/>
      <c r="AF56" s="160"/>
      <c r="AG56" s="160"/>
      <c r="AH56" s="160"/>
      <c r="AI56" s="165"/>
      <c r="AJ56" s="161"/>
      <c r="AK56" s="162"/>
      <c r="AL56" s="165"/>
      <c r="AM56" s="166"/>
      <c r="AN56" s="165"/>
      <c r="AO56" s="165"/>
      <c r="AP56" s="162"/>
      <c r="AQ56" s="161"/>
      <c r="AR56" s="162"/>
      <c r="AS56" s="161"/>
      <c r="AT56" s="165"/>
      <c r="AU56" s="166"/>
      <c r="AV56" s="165"/>
      <c r="AW56" s="166"/>
      <c r="AX56" s="165"/>
      <c r="AY56" s="165"/>
      <c r="AZ56" s="165"/>
      <c r="BA56" s="165"/>
      <c r="BB56" s="166"/>
      <c r="BC56" s="165"/>
      <c r="BD56" s="165"/>
      <c r="BE56" s="165"/>
      <c r="BF56" s="165"/>
      <c r="BG56" s="165"/>
      <c r="BH56" s="165"/>
      <c r="BI56" s="165"/>
      <c r="BJ56" s="166"/>
      <c r="BK56" s="165"/>
      <c r="BL56" s="165"/>
      <c r="BM56" s="163"/>
      <c r="BN56" s="165"/>
      <c r="BO56" s="165"/>
      <c r="BP56" s="165"/>
      <c r="BQ56" s="167"/>
    </row>
    <row r="57" spans="1:270" ht="40.5" outlineLevel="1" x14ac:dyDescent="0.3">
      <c r="A57" s="15" t="s">
        <v>81</v>
      </c>
      <c r="B57" s="16" t="s">
        <v>95</v>
      </c>
      <c r="C57" s="9" t="s">
        <v>30</v>
      </c>
      <c r="D57" s="66" t="s">
        <v>96</v>
      </c>
      <c r="E57" s="158">
        <f t="shared" si="6"/>
        <v>601.27837</v>
      </c>
      <c r="F57" s="159">
        <f t="shared" si="7"/>
        <v>83.50094</v>
      </c>
      <c r="G57" s="160">
        <f t="shared" si="8"/>
        <v>517.77742999999998</v>
      </c>
      <c r="H57" s="166"/>
      <c r="I57" s="160"/>
      <c r="J57" s="165"/>
      <c r="K57" s="165"/>
      <c r="L57" s="166">
        <v>83.50094</v>
      </c>
      <c r="M57" s="165">
        <v>130.87241</v>
      </c>
      <c r="N57" s="165"/>
      <c r="O57" s="165"/>
      <c r="P57" s="160"/>
      <c r="Q57" s="166"/>
      <c r="R57" s="165"/>
      <c r="S57" s="165"/>
      <c r="T57" s="159"/>
      <c r="U57" s="160"/>
      <c r="V57" s="165"/>
      <c r="W57" s="165"/>
      <c r="X57" s="160"/>
      <c r="Y57" s="166"/>
      <c r="Z57" s="160"/>
      <c r="AA57" s="160"/>
      <c r="AB57" s="165"/>
      <c r="AC57" s="165"/>
      <c r="AD57" s="165"/>
      <c r="AE57" s="165"/>
      <c r="AF57" s="160"/>
      <c r="AG57" s="160"/>
      <c r="AH57" s="160"/>
      <c r="AI57" s="165"/>
      <c r="AJ57" s="161"/>
      <c r="AK57" s="162"/>
      <c r="AL57" s="165"/>
      <c r="AM57" s="166"/>
      <c r="AN57" s="165"/>
      <c r="AO57" s="165"/>
      <c r="AP57" s="162"/>
      <c r="AQ57" s="161"/>
      <c r="AR57" s="162"/>
      <c r="AS57" s="161"/>
      <c r="AT57" s="165"/>
      <c r="AU57" s="166"/>
      <c r="AV57" s="165"/>
      <c r="AW57" s="166"/>
      <c r="AX57" s="165"/>
      <c r="AY57" s="165"/>
      <c r="AZ57" s="165"/>
      <c r="BA57" s="165">
        <v>186.81025</v>
      </c>
      <c r="BB57" s="166"/>
      <c r="BC57" s="165"/>
      <c r="BD57" s="165"/>
      <c r="BE57" s="165"/>
      <c r="BF57" s="165"/>
      <c r="BG57" s="165"/>
      <c r="BH57" s="165"/>
      <c r="BI57" s="165"/>
      <c r="BJ57" s="166"/>
      <c r="BK57" s="165"/>
      <c r="BL57" s="165"/>
      <c r="BM57" s="163"/>
      <c r="BN57" s="165"/>
      <c r="BO57" s="165">
        <v>200.09477000000001</v>
      </c>
      <c r="BP57" s="165"/>
      <c r="BQ57" s="167"/>
    </row>
    <row r="58" spans="1:270" ht="40.5" outlineLevel="1" x14ac:dyDescent="0.3">
      <c r="A58" s="15" t="s">
        <v>81</v>
      </c>
      <c r="B58" s="16" t="s">
        <v>97</v>
      </c>
      <c r="C58" s="9" t="s">
        <v>30</v>
      </c>
      <c r="D58" s="66">
        <v>244305054834</v>
      </c>
      <c r="E58" s="158">
        <f t="shared" si="6"/>
        <v>1054.4644699999999</v>
      </c>
      <c r="F58" s="159">
        <f t="shared" si="7"/>
        <v>10.256589999999999</v>
      </c>
      <c r="G58" s="160">
        <f t="shared" si="8"/>
        <v>1044.2078799999999</v>
      </c>
      <c r="H58" s="166"/>
      <c r="I58" s="160"/>
      <c r="J58" s="165"/>
      <c r="K58" s="165"/>
      <c r="L58" s="166">
        <v>10.256589999999999</v>
      </c>
      <c r="M58" s="165">
        <v>16.075320000000001</v>
      </c>
      <c r="N58" s="165"/>
      <c r="O58" s="165"/>
      <c r="P58" s="160"/>
      <c r="Q58" s="166"/>
      <c r="R58" s="165"/>
      <c r="S58" s="165"/>
      <c r="T58" s="159"/>
      <c r="U58" s="160"/>
      <c r="V58" s="165"/>
      <c r="W58" s="165"/>
      <c r="X58" s="160"/>
      <c r="Y58" s="166"/>
      <c r="Z58" s="160"/>
      <c r="AA58" s="160"/>
      <c r="AB58" s="165"/>
      <c r="AC58" s="165"/>
      <c r="AD58" s="165"/>
      <c r="AE58" s="165"/>
      <c r="AF58" s="160"/>
      <c r="AG58" s="160"/>
      <c r="AH58" s="160"/>
      <c r="AI58" s="165"/>
      <c r="AJ58" s="161"/>
      <c r="AK58" s="162"/>
      <c r="AL58" s="165"/>
      <c r="AM58" s="166"/>
      <c r="AN58" s="165"/>
      <c r="AO58" s="165"/>
      <c r="AP58" s="162"/>
      <c r="AQ58" s="161"/>
      <c r="AR58" s="162"/>
      <c r="AS58" s="161"/>
      <c r="AT58" s="165"/>
      <c r="AU58" s="166"/>
      <c r="AV58" s="165"/>
      <c r="AW58" s="166"/>
      <c r="AX58" s="165"/>
      <c r="AY58" s="165"/>
      <c r="AZ58" s="165"/>
      <c r="BA58" s="165"/>
      <c r="BB58" s="166"/>
      <c r="BC58" s="165"/>
      <c r="BD58" s="165"/>
      <c r="BE58" s="165"/>
      <c r="BF58" s="165">
        <v>1028.13256</v>
      </c>
      <c r="BG58" s="165"/>
      <c r="BH58" s="165"/>
      <c r="BI58" s="165"/>
      <c r="BJ58" s="166"/>
      <c r="BK58" s="165"/>
      <c r="BL58" s="165"/>
      <c r="BM58" s="163"/>
      <c r="BN58" s="165"/>
      <c r="BO58" s="165"/>
      <c r="BP58" s="165"/>
      <c r="BQ58" s="167"/>
    </row>
    <row r="59" spans="1:270" ht="40.5" outlineLevel="1" x14ac:dyDescent="0.3">
      <c r="A59" s="15" t="s">
        <v>81</v>
      </c>
      <c r="B59" s="16" t="s">
        <v>1369</v>
      </c>
      <c r="C59" s="9" t="s">
        <v>30</v>
      </c>
      <c r="D59" s="66">
        <v>244305728106</v>
      </c>
      <c r="E59" s="158">
        <f t="shared" si="6"/>
        <v>58.582499999999996</v>
      </c>
      <c r="F59" s="159">
        <f t="shared" si="7"/>
        <v>10.53</v>
      </c>
      <c r="G59" s="160">
        <f t="shared" si="8"/>
        <v>48.052499999999995</v>
      </c>
      <c r="H59" s="166"/>
      <c r="I59" s="160"/>
      <c r="J59" s="165"/>
      <c r="K59" s="165"/>
      <c r="L59" s="166"/>
      <c r="M59" s="165"/>
      <c r="N59" s="165"/>
      <c r="O59" s="165"/>
      <c r="P59" s="160"/>
      <c r="Q59" s="166"/>
      <c r="R59" s="165"/>
      <c r="S59" s="165"/>
      <c r="T59" s="159"/>
      <c r="U59" s="160"/>
      <c r="V59" s="165"/>
      <c r="W59" s="165"/>
      <c r="X59" s="160"/>
      <c r="Y59" s="166">
        <v>10.53</v>
      </c>
      <c r="Z59" s="160">
        <v>3.51</v>
      </c>
      <c r="AA59" s="160">
        <v>44.542499999999997</v>
      </c>
      <c r="AB59" s="165"/>
      <c r="AC59" s="165"/>
      <c r="AD59" s="165"/>
      <c r="AE59" s="165"/>
      <c r="AF59" s="160"/>
      <c r="AG59" s="160"/>
      <c r="AH59" s="160"/>
      <c r="AI59" s="165"/>
      <c r="AJ59" s="161"/>
      <c r="AK59" s="162"/>
      <c r="AL59" s="165"/>
      <c r="AM59" s="166"/>
      <c r="AN59" s="165"/>
      <c r="AO59" s="165"/>
      <c r="AP59" s="162"/>
      <c r="AQ59" s="161"/>
      <c r="AR59" s="162"/>
      <c r="AS59" s="161"/>
      <c r="AT59" s="165"/>
      <c r="AU59" s="166"/>
      <c r="AV59" s="165"/>
      <c r="AW59" s="166"/>
      <c r="AX59" s="165"/>
      <c r="AY59" s="165"/>
      <c r="AZ59" s="165"/>
      <c r="BA59" s="165"/>
      <c r="BB59" s="166"/>
      <c r="BC59" s="165"/>
      <c r="BD59" s="165"/>
      <c r="BE59" s="165"/>
      <c r="BF59" s="165"/>
      <c r="BG59" s="165"/>
      <c r="BH59" s="165"/>
      <c r="BI59" s="165"/>
      <c r="BJ59" s="166"/>
      <c r="BK59" s="165"/>
      <c r="BL59" s="165"/>
      <c r="BM59" s="163"/>
      <c r="BN59" s="165"/>
      <c r="BO59" s="165"/>
      <c r="BP59" s="165"/>
      <c r="BQ59" s="167"/>
    </row>
    <row r="60" spans="1:270" ht="40.5" outlineLevel="1" x14ac:dyDescent="0.3">
      <c r="A60" s="15" t="s">
        <v>81</v>
      </c>
      <c r="B60" s="12" t="s">
        <v>1133</v>
      </c>
      <c r="C60" s="9" t="s">
        <v>30</v>
      </c>
      <c r="D60" s="66" t="s">
        <v>1164</v>
      </c>
      <c r="E60" s="158">
        <f t="shared" si="6"/>
        <v>195.56834999999998</v>
      </c>
      <c r="F60" s="159">
        <f t="shared" si="7"/>
        <v>39.177</v>
      </c>
      <c r="G60" s="160">
        <f t="shared" si="8"/>
        <v>156.39134999999999</v>
      </c>
      <c r="H60" s="166"/>
      <c r="I60" s="160"/>
      <c r="J60" s="165"/>
      <c r="K60" s="165"/>
      <c r="L60" s="166"/>
      <c r="M60" s="165"/>
      <c r="N60" s="165"/>
      <c r="O60" s="165"/>
      <c r="P60" s="160"/>
      <c r="Q60" s="166"/>
      <c r="R60" s="165"/>
      <c r="S60" s="165"/>
      <c r="T60" s="159"/>
      <c r="U60" s="160"/>
      <c r="V60" s="165"/>
      <c r="W60" s="165"/>
      <c r="X60" s="160"/>
      <c r="Y60" s="166">
        <v>39.177</v>
      </c>
      <c r="Z60" s="160">
        <v>13.058999999999999</v>
      </c>
      <c r="AA60" s="160">
        <v>143.33234999999999</v>
      </c>
      <c r="AB60" s="165"/>
      <c r="AC60" s="165"/>
      <c r="AD60" s="165"/>
      <c r="AE60" s="165"/>
      <c r="AF60" s="160"/>
      <c r="AG60" s="160"/>
      <c r="AH60" s="160"/>
      <c r="AI60" s="165"/>
      <c r="AJ60" s="161"/>
      <c r="AK60" s="162"/>
      <c r="AL60" s="165"/>
      <c r="AM60" s="166"/>
      <c r="AN60" s="165"/>
      <c r="AO60" s="165"/>
      <c r="AP60" s="162"/>
      <c r="AQ60" s="161"/>
      <c r="AR60" s="162"/>
      <c r="AS60" s="161"/>
      <c r="AT60" s="165"/>
      <c r="AU60" s="166"/>
      <c r="AV60" s="165"/>
      <c r="AW60" s="166"/>
      <c r="AX60" s="165"/>
      <c r="AY60" s="165"/>
      <c r="AZ60" s="165"/>
      <c r="BA60" s="165"/>
      <c r="BB60" s="166"/>
      <c r="BC60" s="165"/>
      <c r="BD60" s="165"/>
      <c r="BE60" s="165"/>
      <c r="BF60" s="165"/>
      <c r="BG60" s="165"/>
      <c r="BH60" s="165"/>
      <c r="BI60" s="165"/>
      <c r="BJ60" s="166"/>
      <c r="BK60" s="165"/>
      <c r="BL60" s="165"/>
      <c r="BM60" s="163"/>
      <c r="BN60" s="165"/>
      <c r="BO60" s="165"/>
      <c r="BP60" s="165"/>
      <c r="BQ60" s="167"/>
    </row>
    <row r="61" spans="1:270" ht="40.5" outlineLevel="1" x14ac:dyDescent="0.3">
      <c r="A61" s="15" t="s">
        <v>81</v>
      </c>
      <c r="B61" s="16" t="s">
        <v>1355</v>
      </c>
      <c r="C61" s="9" t="s">
        <v>30</v>
      </c>
      <c r="D61" s="66">
        <v>244303594337</v>
      </c>
      <c r="E61" s="158">
        <f t="shared" si="6"/>
        <v>844.94899999999996</v>
      </c>
      <c r="F61" s="159">
        <f t="shared" si="7"/>
        <v>165.04621</v>
      </c>
      <c r="G61" s="160">
        <f t="shared" si="8"/>
        <v>679.90278999999998</v>
      </c>
      <c r="H61" s="166"/>
      <c r="I61" s="160"/>
      <c r="J61" s="165"/>
      <c r="K61" s="165"/>
      <c r="L61" s="166"/>
      <c r="M61" s="165"/>
      <c r="N61" s="165"/>
      <c r="O61" s="165"/>
      <c r="P61" s="160"/>
      <c r="Q61" s="166"/>
      <c r="R61" s="165"/>
      <c r="S61" s="165"/>
      <c r="T61" s="159"/>
      <c r="U61" s="160"/>
      <c r="V61" s="165"/>
      <c r="W61" s="165"/>
      <c r="X61" s="160"/>
      <c r="Y61" s="166">
        <v>165.04621</v>
      </c>
      <c r="Z61" s="160">
        <v>55.0154</v>
      </c>
      <c r="AA61" s="160">
        <v>624.88738999999998</v>
      </c>
      <c r="AB61" s="165"/>
      <c r="AC61" s="165"/>
      <c r="AD61" s="165"/>
      <c r="AE61" s="165"/>
      <c r="AF61" s="160"/>
      <c r="AG61" s="160"/>
      <c r="AH61" s="160"/>
      <c r="AI61" s="165"/>
      <c r="AJ61" s="161"/>
      <c r="AK61" s="162"/>
      <c r="AL61" s="165"/>
      <c r="AM61" s="166"/>
      <c r="AN61" s="165"/>
      <c r="AO61" s="165"/>
      <c r="AP61" s="162"/>
      <c r="AQ61" s="161"/>
      <c r="AR61" s="162"/>
      <c r="AS61" s="161"/>
      <c r="AT61" s="165"/>
      <c r="AU61" s="166"/>
      <c r="AV61" s="165"/>
      <c r="AW61" s="166"/>
      <c r="AX61" s="165"/>
      <c r="AY61" s="165"/>
      <c r="AZ61" s="165"/>
      <c r="BA61" s="165"/>
      <c r="BB61" s="166"/>
      <c r="BC61" s="165"/>
      <c r="BD61" s="165"/>
      <c r="BE61" s="165"/>
      <c r="BF61" s="165"/>
      <c r="BG61" s="165"/>
      <c r="BH61" s="165"/>
      <c r="BI61" s="165"/>
      <c r="BJ61" s="166"/>
      <c r="BK61" s="165"/>
      <c r="BL61" s="165"/>
      <c r="BM61" s="163"/>
      <c r="BN61" s="165"/>
      <c r="BO61" s="165"/>
      <c r="BP61" s="165"/>
      <c r="BQ61" s="167"/>
    </row>
    <row r="62" spans="1:270" ht="40.5" outlineLevel="1" x14ac:dyDescent="0.3">
      <c r="A62" s="15" t="s">
        <v>81</v>
      </c>
      <c r="B62" s="16" t="s">
        <v>98</v>
      </c>
      <c r="C62" s="9" t="s">
        <v>30</v>
      </c>
      <c r="D62" s="66" t="s">
        <v>99</v>
      </c>
      <c r="E62" s="158">
        <f t="shared" si="6"/>
        <v>512.17975000000001</v>
      </c>
      <c r="F62" s="159">
        <f t="shared" si="7"/>
        <v>199.50004000000001</v>
      </c>
      <c r="G62" s="160">
        <f t="shared" si="8"/>
        <v>312.67971</v>
      </c>
      <c r="H62" s="166"/>
      <c r="I62" s="160"/>
      <c r="J62" s="165"/>
      <c r="K62" s="165"/>
      <c r="L62" s="166">
        <v>199.50004000000001</v>
      </c>
      <c r="M62" s="165">
        <v>312.67971</v>
      </c>
      <c r="N62" s="165"/>
      <c r="O62" s="165"/>
      <c r="P62" s="160"/>
      <c r="Q62" s="166"/>
      <c r="R62" s="165"/>
      <c r="S62" s="165"/>
      <c r="T62" s="159"/>
      <c r="U62" s="160"/>
      <c r="V62" s="165"/>
      <c r="W62" s="165"/>
      <c r="X62" s="160"/>
      <c r="Y62" s="166"/>
      <c r="Z62" s="160"/>
      <c r="AA62" s="160"/>
      <c r="AB62" s="165"/>
      <c r="AC62" s="165"/>
      <c r="AD62" s="165"/>
      <c r="AE62" s="165"/>
      <c r="AF62" s="160"/>
      <c r="AG62" s="160"/>
      <c r="AH62" s="160"/>
      <c r="AI62" s="165"/>
      <c r="AJ62" s="161"/>
      <c r="AK62" s="162"/>
      <c r="AL62" s="165"/>
      <c r="AM62" s="166"/>
      <c r="AN62" s="165"/>
      <c r="AO62" s="165"/>
      <c r="AP62" s="162"/>
      <c r="AQ62" s="161"/>
      <c r="AR62" s="162"/>
      <c r="AS62" s="161"/>
      <c r="AT62" s="165"/>
      <c r="AU62" s="166"/>
      <c r="AV62" s="165"/>
      <c r="AW62" s="166"/>
      <c r="AX62" s="165"/>
      <c r="AY62" s="165"/>
      <c r="AZ62" s="165"/>
      <c r="BA62" s="165"/>
      <c r="BB62" s="166"/>
      <c r="BC62" s="165"/>
      <c r="BD62" s="165"/>
      <c r="BE62" s="165"/>
      <c r="BF62" s="165"/>
      <c r="BG62" s="165"/>
      <c r="BH62" s="165"/>
      <c r="BI62" s="165"/>
      <c r="BJ62" s="166"/>
      <c r="BK62" s="165"/>
      <c r="BL62" s="165"/>
      <c r="BM62" s="163"/>
      <c r="BN62" s="165"/>
      <c r="BO62" s="165"/>
      <c r="BP62" s="165"/>
      <c r="BQ62" s="167"/>
    </row>
    <row r="63" spans="1:270" ht="40.5" outlineLevel="1" x14ac:dyDescent="0.3">
      <c r="A63" s="15" t="s">
        <v>81</v>
      </c>
      <c r="B63" s="16" t="s">
        <v>100</v>
      </c>
      <c r="C63" s="9" t="s">
        <v>30</v>
      </c>
      <c r="D63" s="66" t="s">
        <v>101</v>
      </c>
      <c r="E63" s="158">
        <f t="shared" si="6"/>
        <v>3330.2932999999998</v>
      </c>
      <c r="F63" s="159">
        <f t="shared" si="7"/>
        <v>424.24374999999998</v>
      </c>
      <c r="G63" s="160">
        <f t="shared" si="8"/>
        <v>2906.0495499999997</v>
      </c>
      <c r="H63" s="166">
        <v>178.44116</v>
      </c>
      <c r="I63" s="160">
        <v>59.48039</v>
      </c>
      <c r="J63" s="165"/>
      <c r="K63" s="165"/>
      <c r="L63" s="166">
        <v>166.4247</v>
      </c>
      <c r="M63" s="165">
        <v>260.84017999999998</v>
      </c>
      <c r="N63" s="165"/>
      <c r="O63" s="165"/>
      <c r="P63" s="160"/>
      <c r="Q63" s="166"/>
      <c r="R63" s="165"/>
      <c r="S63" s="165"/>
      <c r="T63" s="159"/>
      <c r="U63" s="160"/>
      <c r="V63" s="165"/>
      <c r="W63" s="165"/>
      <c r="X63" s="160"/>
      <c r="Y63" s="166"/>
      <c r="Z63" s="160"/>
      <c r="AA63" s="160"/>
      <c r="AB63" s="165"/>
      <c r="AC63" s="165"/>
      <c r="AD63" s="165"/>
      <c r="AE63" s="165"/>
      <c r="AF63" s="160"/>
      <c r="AG63" s="160"/>
      <c r="AH63" s="160"/>
      <c r="AI63" s="165"/>
      <c r="AJ63" s="161"/>
      <c r="AK63" s="162"/>
      <c r="AL63" s="165"/>
      <c r="AM63" s="166"/>
      <c r="AN63" s="165"/>
      <c r="AO63" s="165"/>
      <c r="AP63" s="162"/>
      <c r="AQ63" s="161"/>
      <c r="AR63" s="162"/>
      <c r="AS63" s="161"/>
      <c r="AT63" s="165"/>
      <c r="AU63" s="166"/>
      <c r="AV63" s="165"/>
      <c r="AW63" s="166">
        <v>79.377889999999994</v>
      </c>
      <c r="AX63" s="165">
        <f>15.97871+23.71027</f>
        <v>39.688980000000001</v>
      </c>
      <c r="AY63" s="165"/>
      <c r="AZ63" s="165"/>
      <c r="BA63" s="165"/>
      <c r="BB63" s="166"/>
      <c r="BC63" s="165"/>
      <c r="BD63" s="165"/>
      <c r="BE63" s="165"/>
      <c r="BF63" s="165"/>
      <c r="BG63" s="165"/>
      <c r="BH63" s="165">
        <v>2546.04</v>
      </c>
      <c r="BI63" s="165"/>
      <c r="BJ63" s="166"/>
      <c r="BK63" s="165"/>
      <c r="BL63" s="165"/>
      <c r="BM63" s="163"/>
      <c r="BN63" s="165"/>
      <c r="BO63" s="165"/>
      <c r="BP63" s="165"/>
      <c r="BQ63" s="167"/>
    </row>
    <row r="64" spans="1:270" ht="40.5" outlineLevel="1" x14ac:dyDescent="0.3">
      <c r="A64" s="15" t="s">
        <v>81</v>
      </c>
      <c r="B64" s="14" t="s">
        <v>86</v>
      </c>
      <c r="C64" s="9" t="s">
        <v>87</v>
      </c>
      <c r="D64" s="66" t="s">
        <v>88</v>
      </c>
      <c r="E64" s="158">
        <f t="shared" si="6"/>
        <v>778.58617000000004</v>
      </c>
      <c r="F64" s="159">
        <f t="shared" si="7"/>
        <v>0</v>
      </c>
      <c r="G64" s="160">
        <f t="shared" si="8"/>
        <v>778.58617000000004</v>
      </c>
      <c r="H64" s="166"/>
      <c r="I64" s="160"/>
      <c r="J64" s="165"/>
      <c r="K64" s="165"/>
      <c r="L64" s="166"/>
      <c r="M64" s="165"/>
      <c r="N64" s="165"/>
      <c r="O64" s="165"/>
      <c r="P64" s="160"/>
      <c r="Q64" s="166"/>
      <c r="R64" s="165"/>
      <c r="S64" s="165"/>
      <c r="T64" s="159"/>
      <c r="U64" s="160"/>
      <c r="V64" s="165"/>
      <c r="W64" s="165"/>
      <c r="X64" s="160"/>
      <c r="Y64" s="166"/>
      <c r="Z64" s="160"/>
      <c r="AA64" s="160"/>
      <c r="AB64" s="165"/>
      <c r="AC64" s="165"/>
      <c r="AD64" s="165"/>
      <c r="AE64" s="165"/>
      <c r="AF64" s="160"/>
      <c r="AG64" s="160"/>
      <c r="AH64" s="160"/>
      <c r="AI64" s="165"/>
      <c r="AJ64" s="161"/>
      <c r="AK64" s="162"/>
      <c r="AL64" s="165"/>
      <c r="AM64" s="166"/>
      <c r="AN64" s="165"/>
      <c r="AO64" s="165"/>
      <c r="AP64" s="162"/>
      <c r="AQ64" s="161"/>
      <c r="AR64" s="162"/>
      <c r="AS64" s="161"/>
      <c r="AT64" s="165"/>
      <c r="AU64" s="166"/>
      <c r="AV64" s="165"/>
      <c r="AW64" s="166"/>
      <c r="AX64" s="165"/>
      <c r="AY64" s="165"/>
      <c r="AZ64" s="165"/>
      <c r="BA64" s="165"/>
      <c r="BB64" s="166"/>
      <c r="BC64" s="165"/>
      <c r="BD64" s="165"/>
      <c r="BE64" s="165"/>
      <c r="BF64" s="165"/>
      <c r="BG64" s="165"/>
      <c r="BH64" s="165"/>
      <c r="BI64" s="165">
        <v>778.58617000000004</v>
      </c>
      <c r="BJ64" s="166"/>
      <c r="BK64" s="165"/>
      <c r="BL64" s="165"/>
      <c r="BM64" s="163"/>
      <c r="BN64" s="165"/>
      <c r="BO64" s="165"/>
      <c r="BP64" s="165"/>
      <c r="BQ64" s="167"/>
    </row>
    <row r="65" spans="1:270" ht="40.5" outlineLevel="1" x14ac:dyDescent="0.3">
      <c r="A65" s="15" t="s">
        <v>81</v>
      </c>
      <c r="B65" s="14" t="s">
        <v>1514</v>
      </c>
      <c r="C65" s="9" t="s">
        <v>87</v>
      </c>
      <c r="D65" s="66">
        <v>2443020257</v>
      </c>
      <c r="E65" s="158">
        <f t="shared" si="6"/>
        <v>4657.4898499999999</v>
      </c>
      <c r="F65" s="159">
        <f t="shared" si="7"/>
        <v>0</v>
      </c>
      <c r="G65" s="160">
        <f t="shared" si="8"/>
        <v>4657.4898499999999</v>
      </c>
      <c r="H65" s="166"/>
      <c r="I65" s="160"/>
      <c r="J65" s="165"/>
      <c r="K65" s="165"/>
      <c r="L65" s="166"/>
      <c r="M65" s="165"/>
      <c r="N65" s="165"/>
      <c r="O65" s="165"/>
      <c r="P65" s="160"/>
      <c r="Q65" s="166"/>
      <c r="R65" s="165"/>
      <c r="S65" s="165"/>
      <c r="T65" s="159"/>
      <c r="U65" s="160"/>
      <c r="V65" s="165"/>
      <c r="W65" s="165"/>
      <c r="X65" s="160"/>
      <c r="Y65" s="166"/>
      <c r="Z65" s="160"/>
      <c r="AA65" s="160"/>
      <c r="AB65" s="165"/>
      <c r="AC65" s="165"/>
      <c r="AD65" s="165"/>
      <c r="AE65" s="165"/>
      <c r="AF65" s="160"/>
      <c r="AG65" s="160"/>
      <c r="AH65" s="160"/>
      <c r="AI65" s="165"/>
      <c r="AJ65" s="161"/>
      <c r="AK65" s="162"/>
      <c r="AL65" s="165"/>
      <c r="AM65" s="166"/>
      <c r="AN65" s="165"/>
      <c r="AO65" s="165"/>
      <c r="AP65" s="162"/>
      <c r="AQ65" s="161"/>
      <c r="AR65" s="162"/>
      <c r="AS65" s="161"/>
      <c r="AT65" s="165"/>
      <c r="AU65" s="166"/>
      <c r="AV65" s="165"/>
      <c r="AW65" s="166"/>
      <c r="AX65" s="165"/>
      <c r="AY65" s="165"/>
      <c r="AZ65" s="165"/>
      <c r="BA65" s="165"/>
      <c r="BB65" s="166"/>
      <c r="BC65" s="165"/>
      <c r="BD65" s="165"/>
      <c r="BE65" s="165"/>
      <c r="BF65" s="165"/>
      <c r="BG65" s="165"/>
      <c r="BH65" s="165"/>
      <c r="BI65" s="165">
        <v>4657.4898499999999</v>
      </c>
      <c r="BJ65" s="166"/>
      <c r="BK65" s="165"/>
      <c r="BL65" s="165"/>
      <c r="BM65" s="163"/>
      <c r="BN65" s="165"/>
      <c r="BO65" s="165"/>
      <c r="BP65" s="165"/>
      <c r="BQ65" s="167"/>
    </row>
    <row r="66" spans="1:270" ht="35.25" customHeight="1" outlineLevel="1" x14ac:dyDescent="0.3">
      <c r="A66" s="15" t="s">
        <v>81</v>
      </c>
      <c r="B66" s="14" t="s">
        <v>82</v>
      </c>
      <c r="C66" s="9" t="s">
        <v>6</v>
      </c>
      <c r="D66" s="66" t="s">
        <v>83</v>
      </c>
      <c r="E66" s="158">
        <f t="shared" si="6"/>
        <v>52384.382839999991</v>
      </c>
      <c r="F66" s="159">
        <f t="shared" si="7"/>
        <v>3836.8528999999999</v>
      </c>
      <c r="G66" s="160">
        <f t="shared" si="8"/>
        <v>48547.529939999993</v>
      </c>
      <c r="H66" s="166"/>
      <c r="I66" s="160"/>
      <c r="J66" s="165"/>
      <c r="K66" s="165"/>
      <c r="L66" s="166">
        <f>687.64352+2735.15299</f>
        <v>3422.7965100000001</v>
      </c>
      <c r="M66" s="165">
        <f>1077.75509+4286.85064</f>
        <v>5364.6057299999993</v>
      </c>
      <c r="N66" s="165"/>
      <c r="O66" s="165"/>
      <c r="P66" s="160"/>
      <c r="Q66" s="166"/>
      <c r="R66" s="165"/>
      <c r="S66" s="165"/>
      <c r="T66" s="159"/>
      <c r="U66" s="160"/>
      <c r="V66" s="165"/>
      <c r="W66" s="165"/>
      <c r="X66" s="160"/>
      <c r="Y66" s="166"/>
      <c r="Z66" s="160"/>
      <c r="AA66" s="160"/>
      <c r="AB66" s="165"/>
      <c r="AC66" s="165"/>
      <c r="AD66" s="165"/>
      <c r="AE66" s="165"/>
      <c r="AF66" s="160"/>
      <c r="AG66" s="160"/>
      <c r="AH66" s="160"/>
      <c r="AI66" s="165">
        <v>663.61329999999998</v>
      </c>
      <c r="AJ66" s="161"/>
      <c r="AK66" s="162"/>
      <c r="AL66" s="165"/>
      <c r="AM66" s="166"/>
      <c r="AN66" s="165"/>
      <c r="AO66" s="165"/>
      <c r="AP66" s="162"/>
      <c r="AQ66" s="161"/>
      <c r="AR66" s="162"/>
      <c r="AS66" s="161"/>
      <c r="AT66" s="165"/>
      <c r="AU66" s="166"/>
      <c r="AV66" s="165"/>
      <c r="AW66" s="166">
        <f>227.16822+23.49393+24.79697+138.59727</f>
        <v>414.05638999999996</v>
      </c>
      <c r="AX66" s="165">
        <f>27.89943+67.85544+7.01766+7.40688+41.39919</f>
        <v>151.57859999999999</v>
      </c>
      <c r="AY66" s="165"/>
      <c r="AZ66" s="165"/>
      <c r="BA66" s="165"/>
      <c r="BB66" s="166"/>
      <c r="BC66" s="165"/>
      <c r="BD66" s="165"/>
      <c r="BE66" s="165">
        <v>1905.79153</v>
      </c>
      <c r="BF66" s="165">
        <v>40461.940779999997</v>
      </c>
      <c r="BG66" s="165"/>
      <c r="BH66" s="165"/>
      <c r="BI66" s="165"/>
      <c r="BJ66" s="166"/>
      <c r="BK66" s="165"/>
      <c r="BL66" s="165"/>
      <c r="BM66" s="163"/>
      <c r="BN66" s="165"/>
      <c r="BO66" s="165"/>
      <c r="BP66" s="165"/>
      <c r="BQ66" s="167"/>
    </row>
    <row r="67" spans="1:270" outlineLevel="1" x14ac:dyDescent="0.3">
      <c r="A67" s="11" t="s">
        <v>1162</v>
      </c>
      <c r="B67" s="14" t="s">
        <v>84</v>
      </c>
      <c r="C67" s="9" t="s">
        <v>6</v>
      </c>
      <c r="D67" s="66" t="s">
        <v>85</v>
      </c>
      <c r="E67" s="158">
        <f t="shared" si="6"/>
        <v>356.51732000000004</v>
      </c>
      <c r="F67" s="159">
        <f t="shared" si="7"/>
        <v>164.17792</v>
      </c>
      <c r="G67" s="160">
        <f t="shared" si="8"/>
        <v>192.33940000000001</v>
      </c>
      <c r="H67" s="166">
        <v>52.658230000000003</v>
      </c>
      <c r="I67" s="160">
        <v>17.55274</v>
      </c>
      <c r="J67" s="160"/>
      <c r="K67" s="160"/>
      <c r="L67" s="166">
        <v>111.51969</v>
      </c>
      <c r="M67" s="165">
        <v>174.78666000000001</v>
      </c>
      <c r="N67" s="165"/>
      <c r="O67" s="165"/>
      <c r="P67" s="160"/>
      <c r="Q67" s="166"/>
      <c r="R67" s="165"/>
      <c r="S67" s="165"/>
      <c r="T67" s="159"/>
      <c r="U67" s="160"/>
      <c r="V67" s="165"/>
      <c r="W67" s="165"/>
      <c r="X67" s="160"/>
      <c r="Y67" s="166"/>
      <c r="Z67" s="160"/>
      <c r="AA67" s="160"/>
      <c r="AB67" s="165"/>
      <c r="AC67" s="165"/>
      <c r="AD67" s="165"/>
      <c r="AE67" s="165"/>
      <c r="AF67" s="160"/>
      <c r="AG67" s="160"/>
      <c r="AH67" s="160"/>
      <c r="AI67" s="160"/>
      <c r="AJ67" s="161"/>
      <c r="AK67" s="162"/>
      <c r="AL67" s="165"/>
      <c r="AM67" s="166"/>
      <c r="AN67" s="165"/>
      <c r="AO67" s="160"/>
      <c r="AP67" s="162"/>
      <c r="AQ67" s="161"/>
      <c r="AR67" s="162"/>
      <c r="AS67" s="161"/>
      <c r="AT67" s="165"/>
      <c r="AU67" s="166"/>
      <c r="AV67" s="165"/>
      <c r="AW67" s="166"/>
      <c r="AX67" s="165"/>
      <c r="AY67" s="165"/>
      <c r="AZ67" s="165"/>
      <c r="BA67" s="165"/>
      <c r="BB67" s="166"/>
      <c r="BC67" s="165"/>
      <c r="BD67" s="165"/>
      <c r="BE67" s="165"/>
      <c r="BF67" s="165"/>
      <c r="BG67" s="165"/>
      <c r="BH67" s="165"/>
      <c r="BI67" s="165"/>
      <c r="BJ67" s="166"/>
      <c r="BK67" s="165"/>
      <c r="BL67" s="165"/>
      <c r="BM67" s="163"/>
      <c r="BN67" s="165"/>
      <c r="BO67" s="165"/>
      <c r="BP67" s="165"/>
      <c r="BQ67" s="167"/>
    </row>
    <row r="68" spans="1:270" s="34" customFormat="1" x14ac:dyDescent="0.3">
      <c r="A68" s="118" t="s">
        <v>102</v>
      </c>
      <c r="B68" s="120"/>
      <c r="C68" s="116" t="s">
        <v>80</v>
      </c>
      <c r="D68" s="117"/>
      <c r="E68" s="173">
        <f>SUBTOTAL(9,E53:E67)</f>
        <v>66317.362899999993</v>
      </c>
      <c r="F68" s="173">
        <f t="shared" ref="F68:BP68" si="9">SUBTOTAL(9,F53:F67)</f>
        <v>5198.1070399999999</v>
      </c>
      <c r="G68" s="173">
        <f t="shared" si="9"/>
        <v>61119.25585999999</v>
      </c>
      <c r="H68" s="173">
        <f t="shared" si="9"/>
        <v>231.09939</v>
      </c>
      <c r="I68" s="173">
        <f t="shared" si="9"/>
        <v>77.03313</v>
      </c>
      <c r="J68" s="173">
        <f t="shared" si="9"/>
        <v>0</v>
      </c>
      <c r="K68" s="173">
        <f t="shared" si="9"/>
        <v>0</v>
      </c>
      <c r="L68" s="173">
        <f t="shared" si="9"/>
        <v>4030.4166500000001</v>
      </c>
      <c r="M68" s="173">
        <f t="shared" si="9"/>
        <v>6316.9388399999989</v>
      </c>
      <c r="N68" s="173">
        <f t="shared" si="9"/>
        <v>0</v>
      </c>
      <c r="O68" s="173">
        <f>SUBTOTAL(9,O53:O67)</f>
        <v>0</v>
      </c>
      <c r="P68" s="173">
        <f>SUBTOTAL(9,P53:P67)</f>
        <v>0</v>
      </c>
      <c r="Q68" s="173">
        <f t="shared" si="9"/>
        <v>0</v>
      </c>
      <c r="R68" s="173">
        <f t="shared" si="9"/>
        <v>0</v>
      </c>
      <c r="S68" s="173">
        <f t="shared" si="9"/>
        <v>55.98</v>
      </c>
      <c r="T68" s="173">
        <f>SUBTOTAL(9,T53:T67)</f>
        <v>0</v>
      </c>
      <c r="U68" s="173">
        <f>SUBTOTAL(9,U53:U67)</f>
        <v>0</v>
      </c>
      <c r="V68" s="173">
        <f t="shared" si="9"/>
        <v>0</v>
      </c>
      <c r="W68" s="173">
        <f t="shared" si="9"/>
        <v>0</v>
      </c>
      <c r="X68" s="173">
        <f>SUBTOTAL(9,X53:X67)</f>
        <v>0</v>
      </c>
      <c r="Y68" s="173">
        <f t="shared" si="9"/>
        <v>443.15672000000006</v>
      </c>
      <c r="Z68" s="173">
        <f t="shared" si="9"/>
        <v>147.71890000000002</v>
      </c>
      <c r="AA68" s="173">
        <f t="shared" si="9"/>
        <v>1901.8181999999997</v>
      </c>
      <c r="AB68" s="173">
        <f t="shared" si="9"/>
        <v>0</v>
      </c>
      <c r="AC68" s="173">
        <f t="shared" si="9"/>
        <v>0</v>
      </c>
      <c r="AD68" s="173">
        <f>SUBTOTAL(9,AD53:AD67)</f>
        <v>0</v>
      </c>
      <c r="AE68" s="173">
        <f t="shared" si="9"/>
        <v>0</v>
      </c>
      <c r="AF68" s="173">
        <f t="shared" si="9"/>
        <v>0</v>
      </c>
      <c r="AG68" s="173">
        <f t="shared" si="9"/>
        <v>0</v>
      </c>
      <c r="AH68" s="173">
        <f t="shared" si="9"/>
        <v>0</v>
      </c>
      <c r="AI68" s="173">
        <f t="shared" si="9"/>
        <v>663.61329999999998</v>
      </c>
      <c r="AJ68" s="173">
        <f t="shared" si="9"/>
        <v>0</v>
      </c>
      <c r="AK68" s="173">
        <f t="shared" si="9"/>
        <v>0</v>
      </c>
      <c r="AL68" s="173">
        <f t="shared" si="9"/>
        <v>0</v>
      </c>
      <c r="AM68" s="173">
        <f>SUBTOTAL(9,AM53:AM67)</f>
        <v>0</v>
      </c>
      <c r="AN68" s="173">
        <f>SUBTOTAL(9,AN53:AN67)</f>
        <v>0</v>
      </c>
      <c r="AO68" s="173">
        <f>SUBTOTAL(9,AO53:AO67)</f>
        <v>0</v>
      </c>
      <c r="AP68" s="173">
        <f t="shared" si="9"/>
        <v>0</v>
      </c>
      <c r="AQ68" s="173">
        <f t="shared" si="9"/>
        <v>0</v>
      </c>
      <c r="AR68" s="173">
        <f t="shared" si="9"/>
        <v>0</v>
      </c>
      <c r="AS68" s="173">
        <f t="shared" si="9"/>
        <v>0</v>
      </c>
      <c r="AT68" s="173">
        <f>SUBTOTAL(9,AT53:AT67)</f>
        <v>0</v>
      </c>
      <c r="AU68" s="173">
        <f t="shared" si="9"/>
        <v>0</v>
      </c>
      <c r="AV68" s="173">
        <f t="shared" si="9"/>
        <v>0</v>
      </c>
      <c r="AW68" s="173">
        <f t="shared" si="9"/>
        <v>493.43427999999994</v>
      </c>
      <c r="AX68" s="173">
        <f t="shared" si="9"/>
        <v>191.26758000000001</v>
      </c>
      <c r="AY68" s="173">
        <f t="shared" si="9"/>
        <v>0</v>
      </c>
      <c r="AZ68" s="173">
        <f t="shared" si="9"/>
        <v>0</v>
      </c>
      <c r="BA68" s="173">
        <f t="shared" si="9"/>
        <v>186.81025</v>
      </c>
      <c r="BB68" s="173">
        <f t="shared" si="9"/>
        <v>0</v>
      </c>
      <c r="BC68" s="173">
        <f t="shared" si="9"/>
        <v>0</v>
      </c>
      <c r="BD68" s="173">
        <f t="shared" si="9"/>
        <v>0</v>
      </c>
      <c r="BE68" s="173">
        <f t="shared" si="9"/>
        <v>1905.79153</v>
      </c>
      <c r="BF68" s="173">
        <f t="shared" si="9"/>
        <v>41490.073339999995</v>
      </c>
      <c r="BG68" s="173">
        <f t="shared" si="9"/>
        <v>0</v>
      </c>
      <c r="BH68" s="173">
        <f t="shared" si="9"/>
        <v>2546.04</v>
      </c>
      <c r="BI68" s="173">
        <f t="shared" si="9"/>
        <v>5436.0760200000004</v>
      </c>
      <c r="BJ68" s="173">
        <f t="shared" si="9"/>
        <v>0</v>
      </c>
      <c r="BK68" s="173">
        <f t="shared" si="9"/>
        <v>0</v>
      </c>
      <c r="BL68" s="173">
        <f t="shared" si="9"/>
        <v>0</v>
      </c>
      <c r="BM68" s="174">
        <f>SUBTOTAL(9,BM53:BM67)</f>
        <v>0</v>
      </c>
      <c r="BN68" s="173">
        <f t="shared" si="9"/>
        <v>0</v>
      </c>
      <c r="BO68" s="173">
        <f t="shared" si="9"/>
        <v>200.09477000000001</v>
      </c>
      <c r="BP68" s="173">
        <f t="shared" si="9"/>
        <v>0</v>
      </c>
      <c r="BQ68" s="174">
        <f t="shared" ref="BQ68" si="10">SUBTOTAL(9,BQ53:BQ67)</f>
        <v>0</v>
      </c>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c r="IW68" s="40"/>
      <c r="IX68" s="40"/>
      <c r="IY68" s="40"/>
      <c r="IZ68" s="40"/>
      <c r="JA68" s="40"/>
      <c r="JB68" s="40"/>
      <c r="JC68" s="40"/>
      <c r="JD68" s="40"/>
      <c r="JE68" s="40"/>
      <c r="JF68" s="40"/>
      <c r="JG68" s="40"/>
      <c r="JH68" s="40"/>
      <c r="JI68" s="40"/>
      <c r="JJ68" s="40"/>
    </row>
    <row r="69" spans="1:270" ht="39.950000000000003" customHeight="1" outlineLevel="1" x14ac:dyDescent="0.3">
      <c r="A69" s="17" t="s">
        <v>103</v>
      </c>
      <c r="B69" s="10" t="s">
        <v>1408</v>
      </c>
      <c r="C69" s="9" t="s">
        <v>30</v>
      </c>
      <c r="D69" s="66">
        <v>240302356340</v>
      </c>
      <c r="E69" s="158">
        <f>F69+G69</f>
        <v>3000</v>
      </c>
      <c r="F69" s="159">
        <f t="shared" ref="F69:F99" si="11">H69+L69+Q69+Y69+T69+AK69+AP69+AM69+AR69+AU69+AW69+BB69+BJ69</f>
        <v>0</v>
      </c>
      <c r="G69" s="160">
        <f t="shared" ref="G69:G99" si="12">I69+J69+K69+M69+N69+R69+S69+V69+W69+AD69+O69+X69+Z69+AA69+AB69+AC69+AE69+AF69+P69+U69+AG69+AH69+AI69+AO69+AJ69+AL69+AQ69+AN69+AS69+AV69+AX69+AY69+AZ69+BA69+BC69+BD69+BE69+BF69+BG69+BH69+BI69+AT69+BK69+BL69+BN69+BO69+BP69+BQ69+BM69</f>
        <v>3000</v>
      </c>
      <c r="H69" s="166"/>
      <c r="I69" s="160"/>
      <c r="J69" s="160"/>
      <c r="K69" s="160"/>
      <c r="L69" s="166"/>
      <c r="M69" s="165"/>
      <c r="N69" s="165"/>
      <c r="O69" s="165"/>
      <c r="P69" s="160"/>
      <c r="Q69" s="166"/>
      <c r="R69" s="165"/>
      <c r="S69" s="165"/>
      <c r="T69" s="159"/>
      <c r="U69" s="160"/>
      <c r="V69" s="165"/>
      <c r="W69" s="165"/>
      <c r="X69" s="160"/>
      <c r="Y69" s="166"/>
      <c r="Z69" s="160"/>
      <c r="AA69" s="160"/>
      <c r="AB69" s="165"/>
      <c r="AC69" s="165"/>
      <c r="AD69" s="165"/>
      <c r="AE69" s="165"/>
      <c r="AF69" s="160"/>
      <c r="AG69" s="160"/>
      <c r="AH69" s="160"/>
      <c r="AI69" s="160"/>
      <c r="AJ69" s="161">
        <v>3000</v>
      </c>
      <c r="AK69" s="162"/>
      <c r="AL69" s="165"/>
      <c r="AM69" s="166"/>
      <c r="AN69" s="165"/>
      <c r="AO69" s="160"/>
      <c r="AP69" s="162"/>
      <c r="AQ69" s="161"/>
      <c r="AR69" s="162"/>
      <c r="AS69" s="161"/>
      <c r="AT69" s="165"/>
      <c r="AU69" s="166"/>
      <c r="AV69" s="165"/>
      <c r="AW69" s="166"/>
      <c r="AX69" s="165"/>
      <c r="AY69" s="160"/>
      <c r="AZ69" s="165"/>
      <c r="BA69" s="165"/>
      <c r="BB69" s="166"/>
      <c r="BC69" s="165"/>
      <c r="BD69" s="165"/>
      <c r="BE69" s="165"/>
      <c r="BF69" s="165"/>
      <c r="BG69" s="165"/>
      <c r="BH69" s="165"/>
      <c r="BI69" s="165"/>
      <c r="BJ69" s="166"/>
      <c r="BK69" s="165"/>
      <c r="BL69" s="165"/>
      <c r="BM69" s="163"/>
      <c r="BN69" s="165"/>
      <c r="BO69" s="165"/>
      <c r="BP69" s="165"/>
      <c r="BQ69" s="167"/>
    </row>
    <row r="70" spans="1:270" ht="39.950000000000003" customHeight="1" outlineLevel="1" x14ac:dyDescent="0.3">
      <c r="A70" s="17" t="s">
        <v>103</v>
      </c>
      <c r="B70" s="10" t="s">
        <v>144</v>
      </c>
      <c r="C70" s="9" t="s">
        <v>30</v>
      </c>
      <c r="D70" s="66" t="s">
        <v>145</v>
      </c>
      <c r="E70" s="158">
        <f t="shared" ref="E70:E99" si="13">F70+G70</f>
        <v>76.081250000000011</v>
      </c>
      <c r="F70" s="159">
        <f t="shared" si="11"/>
        <v>29.634540000000001</v>
      </c>
      <c r="G70" s="160">
        <f t="shared" si="12"/>
        <v>46.446710000000003</v>
      </c>
      <c r="H70" s="166"/>
      <c r="I70" s="160"/>
      <c r="J70" s="160"/>
      <c r="K70" s="160"/>
      <c r="L70" s="166">
        <v>29.634540000000001</v>
      </c>
      <c r="M70" s="165">
        <v>46.446710000000003</v>
      </c>
      <c r="N70" s="165"/>
      <c r="O70" s="165"/>
      <c r="P70" s="160"/>
      <c r="Q70" s="166"/>
      <c r="R70" s="165"/>
      <c r="S70" s="165"/>
      <c r="T70" s="159"/>
      <c r="U70" s="160"/>
      <c r="V70" s="165"/>
      <c r="W70" s="165"/>
      <c r="X70" s="160"/>
      <c r="Y70" s="166"/>
      <c r="Z70" s="160"/>
      <c r="AA70" s="160"/>
      <c r="AB70" s="165"/>
      <c r="AC70" s="165"/>
      <c r="AD70" s="165"/>
      <c r="AE70" s="165"/>
      <c r="AF70" s="160"/>
      <c r="AG70" s="160"/>
      <c r="AH70" s="160"/>
      <c r="AI70" s="160"/>
      <c r="AJ70" s="161"/>
      <c r="AK70" s="162"/>
      <c r="AL70" s="165"/>
      <c r="AM70" s="166"/>
      <c r="AN70" s="165"/>
      <c r="AO70" s="160"/>
      <c r="AP70" s="162"/>
      <c r="AQ70" s="161"/>
      <c r="AR70" s="162"/>
      <c r="AS70" s="161"/>
      <c r="AT70" s="165"/>
      <c r="AU70" s="166"/>
      <c r="AV70" s="165"/>
      <c r="AW70" s="166"/>
      <c r="AX70" s="165"/>
      <c r="AY70" s="160"/>
      <c r="AZ70" s="165"/>
      <c r="BA70" s="165"/>
      <c r="BB70" s="166"/>
      <c r="BC70" s="165"/>
      <c r="BD70" s="165"/>
      <c r="BE70" s="165"/>
      <c r="BF70" s="165"/>
      <c r="BG70" s="165"/>
      <c r="BH70" s="165"/>
      <c r="BI70" s="165"/>
      <c r="BJ70" s="166"/>
      <c r="BK70" s="165"/>
      <c r="BL70" s="165"/>
      <c r="BM70" s="163"/>
      <c r="BN70" s="165"/>
      <c r="BO70" s="165"/>
      <c r="BP70" s="165"/>
      <c r="BQ70" s="167"/>
    </row>
    <row r="71" spans="1:270" ht="39.950000000000003" customHeight="1" outlineLevel="1" x14ac:dyDescent="0.3">
      <c r="A71" s="17" t="s">
        <v>103</v>
      </c>
      <c r="B71" s="10" t="s">
        <v>146</v>
      </c>
      <c r="C71" s="9" t="s">
        <v>30</v>
      </c>
      <c r="D71" s="68">
        <v>240300886373</v>
      </c>
      <c r="E71" s="158">
        <f t="shared" si="13"/>
        <v>396.36894999999998</v>
      </c>
      <c r="F71" s="159">
        <f t="shared" si="11"/>
        <v>111.44428000000001</v>
      </c>
      <c r="G71" s="160">
        <f t="shared" si="12"/>
        <v>284.92466999999999</v>
      </c>
      <c r="H71" s="166"/>
      <c r="I71" s="160"/>
      <c r="J71" s="160"/>
      <c r="K71" s="160"/>
      <c r="L71" s="166">
        <v>111.44428000000001</v>
      </c>
      <c r="M71" s="165">
        <v>174.66846000000001</v>
      </c>
      <c r="N71" s="165"/>
      <c r="O71" s="165"/>
      <c r="P71" s="160"/>
      <c r="Q71" s="166"/>
      <c r="R71" s="165"/>
      <c r="S71" s="165"/>
      <c r="T71" s="159"/>
      <c r="U71" s="160"/>
      <c r="V71" s="165"/>
      <c r="W71" s="165"/>
      <c r="X71" s="160"/>
      <c r="Y71" s="166"/>
      <c r="Z71" s="160"/>
      <c r="AA71" s="160"/>
      <c r="AB71" s="165"/>
      <c r="AC71" s="165"/>
      <c r="AD71" s="165"/>
      <c r="AE71" s="165"/>
      <c r="AF71" s="160"/>
      <c r="AG71" s="160"/>
      <c r="AH71" s="160"/>
      <c r="AI71" s="160"/>
      <c r="AJ71" s="161"/>
      <c r="AK71" s="162"/>
      <c r="AL71" s="165"/>
      <c r="AM71" s="166"/>
      <c r="AN71" s="165"/>
      <c r="AO71" s="160"/>
      <c r="AP71" s="162"/>
      <c r="AQ71" s="161"/>
      <c r="AR71" s="162"/>
      <c r="AS71" s="161"/>
      <c r="AT71" s="165"/>
      <c r="AU71" s="166"/>
      <c r="AV71" s="165"/>
      <c r="AW71" s="166"/>
      <c r="AX71" s="165"/>
      <c r="AY71" s="160"/>
      <c r="AZ71" s="165"/>
      <c r="BA71" s="165">
        <v>110.25621</v>
      </c>
      <c r="BB71" s="166"/>
      <c r="BC71" s="165"/>
      <c r="BD71" s="165"/>
      <c r="BE71" s="165"/>
      <c r="BF71" s="165"/>
      <c r="BG71" s="165"/>
      <c r="BH71" s="165"/>
      <c r="BI71" s="165"/>
      <c r="BJ71" s="166"/>
      <c r="BK71" s="165"/>
      <c r="BL71" s="165"/>
      <c r="BM71" s="163"/>
      <c r="BN71" s="165"/>
      <c r="BO71" s="165"/>
      <c r="BP71" s="165"/>
      <c r="BQ71" s="167"/>
    </row>
    <row r="72" spans="1:270" ht="39.950000000000003" customHeight="1" outlineLevel="1" x14ac:dyDescent="0.3">
      <c r="A72" s="17" t="s">
        <v>103</v>
      </c>
      <c r="B72" s="10" t="s">
        <v>147</v>
      </c>
      <c r="C72" s="9" t="s">
        <v>30</v>
      </c>
      <c r="D72" s="69" t="s">
        <v>148</v>
      </c>
      <c r="E72" s="158">
        <f t="shared" si="13"/>
        <v>382.78494000000001</v>
      </c>
      <c r="F72" s="159">
        <f t="shared" si="11"/>
        <v>65.412030000000001</v>
      </c>
      <c r="G72" s="160">
        <f t="shared" si="12"/>
        <v>317.37290999999999</v>
      </c>
      <c r="H72" s="162"/>
      <c r="I72" s="161"/>
      <c r="J72" s="161"/>
      <c r="K72" s="161"/>
      <c r="L72" s="166"/>
      <c r="M72" s="161"/>
      <c r="N72" s="161"/>
      <c r="O72" s="161"/>
      <c r="P72" s="161"/>
      <c r="Q72" s="162"/>
      <c r="R72" s="161"/>
      <c r="S72" s="161"/>
      <c r="T72" s="162"/>
      <c r="U72" s="161"/>
      <c r="V72" s="161"/>
      <c r="W72" s="161"/>
      <c r="X72" s="161"/>
      <c r="Y72" s="162">
        <v>65.412030000000001</v>
      </c>
      <c r="Z72" s="161">
        <v>21.804010000000002</v>
      </c>
      <c r="AA72" s="161">
        <v>295.56889999999999</v>
      </c>
      <c r="AB72" s="161"/>
      <c r="AC72" s="161"/>
      <c r="AD72" s="161"/>
      <c r="AE72" s="161"/>
      <c r="AF72" s="161"/>
      <c r="AG72" s="161"/>
      <c r="AH72" s="161"/>
      <c r="AI72" s="161"/>
      <c r="AJ72" s="161"/>
      <c r="AK72" s="162"/>
      <c r="AL72" s="165"/>
      <c r="AM72" s="166"/>
      <c r="AN72" s="165"/>
      <c r="AO72" s="161"/>
      <c r="AP72" s="162"/>
      <c r="AQ72" s="161"/>
      <c r="AR72" s="162"/>
      <c r="AS72" s="161"/>
      <c r="AT72" s="165"/>
      <c r="AU72" s="166"/>
      <c r="AV72" s="165"/>
      <c r="AW72" s="162"/>
      <c r="AX72" s="161"/>
      <c r="AY72" s="161"/>
      <c r="AZ72" s="161"/>
      <c r="BA72" s="161"/>
      <c r="BB72" s="162"/>
      <c r="BC72" s="161"/>
      <c r="BD72" s="161"/>
      <c r="BE72" s="161"/>
      <c r="BF72" s="161"/>
      <c r="BG72" s="161"/>
      <c r="BH72" s="161"/>
      <c r="BI72" s="161"/>
      <c r="BJ72" s="166"/>
      <c r="BK72" s="165"/>
      <c r="BL72" s="165"/>
      <c r="BM72" s="163"/>
      <c r="BN72" s="165"/>
      <c r="BO72" s="165"/>
      <c r="BP72" s="165"/>
      <c r="BQ72" s="167"/>
    </row>
    <row r="73" spans="1:270" ht="39.950000000000003" customHeight="1" outlineLevel="1" x14ac:dyDescent="0.3">
      <c r="A73" s="17" t="s">
        <v>103</v>
      </c>
      <c r="B73" s="12" t="s">
        <v>149</v>
      </c>
      <c r="C73" s="9" t="s">
        <v>30</v>
      </c>
      <c r="D73" s="66" t="s">
        <v>150</v>
      </c>
      <c r="E73" s="158">
        <f t="shared" si="13"/>
        <v>111.29122000000001</v>
      </c>
      <c r="F73" s="159">
        <f t="shared" si="11"/>
        <v>43.349240000000002</v>
      </c>
      <c r="G73" s="160">
        <f t="shared" si="12"/>
        <v>67.941980000000001</v>
      </c>
      <c r="H73" s="166"/>
      <c r="I73" s="160"/>
      <c r="J73" s="160"/>
      <c r="K73" s="160"/>
      <c r="L73" s="166">
        <v>43.349240000000002</v>
      </c>
      <c r="M73" s="165">
        <v>67.941980000000001</v>
      </c>
      <c r="N73" s="165"/>
      <c r="O73" s="165"/>
      <c r="P73" s="160"/>
      <c r="Q73" s="166"/>
      <c r="R73" s="165"/>
      <c r="S73" s="165"/>
      <c r="T73" s="159"/>
      <c r="U73" s="160"/>
      <c r="V73" s="165"/>
      <c r="W73" s="165"/>
      <c r="X73" s="160"/>
      <c r="Y73" s="166"/>
      <c r="Z73" s="160"/>
      <c r="AA73" s="160"/>
      <c r="AB73" s="165"/>
      <c r="AC73" s="165"/>
      <c r="AD73" s="165"/>
      <c r="AE73" s="165"/>
      <c r="AF73" s="160"/>
      <c r="AG73" s="160"/>
      <c r="AH73" s="160"/>
      <c r="AI73" s="160"/>
      <c r="AJ73" s="161"/>
      <c r="AK73" s="162"/>
      <c r="AL73" s="165"/>
      <c r="AM73" s="166"/>
      <c r="AN73" s="165"/>
      <c r="AO73" s="160"/>
      <c r="AP73" s="162"/>
      <c r="AQ73" s="161"/>
      <c r="AR73" s="162"/>
      <c r="AS73" s="161"/>
      <c r="AT73" s="165"/>
      <c r="AU73" s="166"/>
      <c r="AV73" s="165"/>
      <c r="AW73" s="166"/>
      <c r="AX73" s="165"/>
      <c r="AY73" s="160"/>
      <c r="AZ73" s="165"/>
      <c r="BA73" s="165"/>
      <c r="BB73" s="166"/>
      <c r="BC73" s="165"/>
      <c r="BD73" s="165"/>
      <c r="BE73" s="165"/>
      <c r="BF73" s="165"/>
      <c r="BG73" s="165"/>
      <c r="BH73" s="165"/>
      <c r="BI73" s="165"/>
      <c r="BJ73" s="166"/>
      <c r="BK73" s="165"/>
      <c r="BL73" s="165"/>
      <c r="BM73" s="163"/>
      <c r="BN73" s="165"/>
      <c r="BO73" s="165"/>
      <c r="BP73" s="165"/>
      <c r="BQ73" s="167"/>
    </row>
    <row r="74" spans="1:270" ht="39.950000000000003" customHeight="1" outlineLevel="1" x14ac:dyDescent="0.3">
      <c r="A74" s="17" t="s">
        <v>103</v>
      </c>
      <c r="B74" s="12" t="s">
        <v>1586</v>
      </c>
      <c r="C74" s="9" t="s">
        <v>28</v>
      </c>
      <c r="D74" s="66">
        <v>240300000549</v>
      </c>
      <c r="E74" s="158">
        <f t="shared" si="13"/>
        <v>11034</v>
      </c>
      <c r="F74" s="159">
        <f t="shared" si="11"/>
        <v>0</v>
      </c>
      <c r="G74" s="160">
        <f t="shared" si="12"/>
        <v>11034</v>
      </c>
      <c r="H74" s="166"/>
      <c r="I74" s="160"/>
      <c r="J74" s="160"/>
      <c r="K74" s="160"/>
      <c r="L74" s="166"/>
      <c r="M74" s="165"/>
      <c r="N74" s="165"/>
      <c r="O74" s="165"/>
      <c r="P74" s="160"/>
      <c r="Q74" s="166"/>
      <c r="R74" s="165"/>
      <c r="S74" s="165"/>
      <c r="T74" s="159"/>
      <c r="U74" s="160"/>
      <c r="V74" s="165"/>
      <c r="W74" s="165"/>
      <c r="X74" s="160"/>
      <c r="Y74" s="166"/>
      <c r="Z74" s="160"/>
      <c r="AA74" s="160"/>
      <c r="AB74" s="165"/>
      <c r="AC74" s="165"/>
      <c r="AD74" s="165"/>
      <c r="AE74" s="165"/>
      <c r="AF74" s="160"/>
      <c r="AG74" s="160"/>
      <c r="AH74" s="160"/>
      <c r="AI74" s="160"/>
      <c r="AJ74" s="161"/>
      <c r="AK74" s="162"/>
      <c r="AL74" s="165"/>
      <c r="AM74" s="166"/>
      <c r="AN74" s="165"/>
      <c r="AO74" s="160"/>
      <c r="AP74" s="162"/>
      <c r="AQ74" s="161"/>
      <c r="AR74" s="162"/>
      <c r="AS74" s="161"/>
      <c r="AT74" s="165"/>
      <c r="AU74" s="166"/>
      <c r="AV74" s="165"/>
      <c r="AW74" s="166"/>
      <c r="AX74" s="165"/>
      <c r="AY74" s="160"/>
      <c r="AZ74" s="165"/>
      <c r="BA74" s="165"/>
      <c r="BB74" s="166"/>
      <c r="BC74" s="165"/>
      <c r="BD74" s="165"/>
      <c r="BE74" s="165"/>
      <c r="BF74" s="165"/>
      <c r="BG74" s="165"/>
      <c r="BH74" s="165"/>
      <c r="BI74" s="165"/>
      <c r="BJ74" s="166"/>
      <c r="BK74" s="165"/>
      <c r="BL74" s="165"/>
      <c r="BM74" s="163">
        <v>11034</v>
      </c>
      <c r="BN74" s="165"/>
      <c r="BO74" s="165"/>
      <c r="BP74" s="165"/>
      <c r="BQ74" s="167"/>
    </row>
    <row r="75" spans="1:270" ht="44.25" customHeight="1" outlineLevel="1" x14ac:dyDescent="0.3">
      <c r="A75" s="17" t="s">
        <v>103</v>
      </c>
      <c r="B75" s="10" t="s">
        <v>1388</v>
      </c>
      <c r="C75" s="9" t="s">
        <v>30</v>
      </c>
      <c r="D75" s="66">
        <v>240301026807</v>
      </c>
      <c r="E75" s="158">
        <f t="shared" si="13"/>
        <v>2981.3485799999999</v>
      </c>
      <c r="F75" s="159">
        <f t="shared" si="11"/>
        <v>19.231590000000001</v>
      </c>
      <c r="G75" s="160">
        <f t="shared" si="12"/>
        <v>2962.11699</v>
      </c>
      <c r="H75" s="166"/>
      <c r="I75" s="160"/>
      <c r="J75" s="160"/>
      <c r="K75" s="160"/>
      <c r="L75" s="166">
        <v>19.231590000000001</v>
      </c>
      <c r="M75" s="165">
        <v>30.14199</v>
      </c>
      <c r="N75" s="165"/>
      <c r="O75" s="165"/>
      <c r="P75" s="160"/>
      <c r="Q75" s="166"/>
      <c r="R75" s="165"/>
      <c r="S75" s="165"/>
      <c r="T75" s="159"/>
      <c r="U75" s="160"/>
      <c r="V75" s="165"/>
      <c r="W75" s="165"/>
      <c r="X75" s="160"/>
      <c r="Y75" s="166"/>
      <c r="Z75" s="160"/>
      <c r="AA75" s="160"/>
      <c r="AB75" s="165"/>
      <c r="AC75" s="165"/>
      <c r="AD75" s="165"/>
      <c r="AE75" s="165"/>
      <c r="AF75" s="160"/>
      <c r="AG75" s="160"/>
      <c r="AH75" s="160"/>
      <c r="AI75" s="160"/>
      <c r="AJ75" s="161">
        <v>2931.9749999999999</v>
      </c>
      <c r="AK75" s="162"/>
      <c r="AL75" s="165"/>
      <c r="AM75" s="166"/>
      <c r="AN75" s="165"/>
      <c r="AO75" s="160"/>
      <c r="AP75" s="162"/>
      <c r="AQ75" s="161"/>
      <c r="AR75" s="162"/>
      <c r="AS75" s="161"/>
      <c r="AT75" s="165"/>
      <c r="AU75" s="166"/>
      <c r="AV75" s="165"/>
      <c r="AW75" s="166"/>
      <c r="AX75" s="165"/>
      <c r="AY75" s="160"/>
      <c r="AZ75" s="165"/>
      <c r="BA75" s="165"/>
      <c r="BB75" s="166"/>
      <c r="BC75" s="165"/>
      <c r="BD75" s="165"/>
      <c r="BE75" s="165"/>
      <c r="BF75" s="165"/>
      <c r="BG75" s="165"/>
      <c r="BH75" s="165"/>
      <c r="BI75" s="165"/>
      <c r="BJ75" s="166"/>
      <c r="BK75" s="165"/>
      <c r="BL75" s="165"/>
      <c r="BM75" s="163"/>
      <c r="BN75" s="165"/>
      <c r="BO75" s="165"/>
      <c r="BP75" s="165"/>
      <c r="BQ75" s="167"/>
    </row>
    <row r="76" spans="1:270" ht="39.950000000000003" customHeight="1" outlineLevel="1" x14ac:dyDescent="0.3">
      <c r="A76" s="17" t="s">
        <v>103</v>
      </c>
      <c r="B76" s="10" t="s">
        <v>151</v>
      </c>
      <c r="C76" s="9" t="s">
        <v>30</v>
      </c>
      <c r="D76" s="66" t="s">
        <v>152</v>
      </c>
      <c r="E76" s="158">
        <f t="shared" si="13"/>
        <v>123.36714000000001</v>
      </c>
      <c r="F76" s="159">
        <f t="shared" si="11"/>
        <v>48.052950000000003</v>
      </c>
      <c r="G76" s="160">
        <f t="shared" si="12"/>
        <v>75.314189999999996</v>
      </c>
      <c r="H76" s="166"/>
      <c r="I76" s="160"/>
      <c r="J76" s="160"/>
      <c r="K76" s="160"/>
      <c r="L76" s="166">
        <v>48.052950000000003</v>
      </c>
      <c r="M76" s="165">
        <v>75.314189999999996</v>
      </c>
      <c r="N76" s="165"/>
      <c r="O76" s="165"/>
      <c r="P76" s="160"/>
      <c r="Q76" s="166"/>
      <c r="R76" s="165"/>
      <c r="S76" s="165"/>
      <c r="T76" s="159"/>
      <c r="U76" s="160"/>
      <c r="V76" s="165"/>
      <c r="W76" s="165"/>
      <c r="X76" s="160"/>
      <c r="Y76" s="166"/>
      <c r="Z76" s="160"/>
      <c r="AA76" s="160"/>
      <c r="AB76" s="165"/>
      <c r="AC76" s="165"/>
      <c r="AD76" s="165"/>
      <c r="AE76" s="165"/>
      <c r="AF76" s="160"/>
      <c r="AG76" s="160"/>
      <c r="AH76" s="160"/>
      <c r="AI76" s="160"/>
      <c r="AJ76" s="161"/>
      <c r="AK76" s="162"/>
      <c r="AL76" s="165"/>
      <c r="AM76" s="166"/>
      <c r="AN76" s="165"/>
      <c r="AO76" s="160"/>
      <c r="AP76" s="162"/>
      <c r="AQ76" s="161"/>
      <c r="AR76" s="162"/>
      <c r="AS76" s="161"/>
      <c r="AT76" s="165"/>
      <c r="AU76" s="166"/>
      <c r="AV76" s="165"/>
      <c r="AW76" s="166"/>
      <c r="AX76" s="165"/>
      <c r="AY76" s="160"/>
      <c r="AZ76" s="165"/>
      <c r="BA76" s="165"/>
      <c r="BB76" s="166"/>
      <c r="BC76" s="165"/>
      <c r="BD76" s="165"/>
      <c r="BE76" s="165"/>
      <c r="BF76" s="165"/>
      <c r="BG76" s="165"/>
      <c r="BH76" s="165"/>
      <c r="BI76" s="165"/>
      <c r="BJ76" s="166"/>
      <c r="BK76" s="165"/>
      <c r="BL76" s="165"/>
      <c r="BM76" s="163"/>
      <c r="BN76" s="165"/>
      <c r="BO76" s="165"/>
      <c r="BP76" s="165"/>
      <c r="BQ76" s="167"/>
    </row>
    <row r="77" spans="1:270" ht="39.950000000000003" customHeight="1" outlineLevel="1" x14ac:dyDescent="0.3">
      <c r="A77" s="17" t="s">
        <v>103</v>
      </c>
      <c r="B77" s="10" t="s">
        <v>1548</v>
      </c>
      <c r="C77" s="9" t="s">
        <v>30</v>
      </c>
      <c r="D77" s="66" t="s">
        <v>1549</v>
      </c>
      <c r="E77" s="158">
        <f t="shared" si="13"/>
        <v>223.14017000000001</v>
      </c>
      <c r="F77" s="159">
        <f t="shared" si="11"/>
        <v>0</v>
      </c>
      <c r="G77" s="160">
        <f t="shared" si="12"/>
        <v>223.14017000000001</v>
      </c>
      <c r="H77" s="166"/>
      <c r="I77" s="160"/>
      <c r="J77" s="160"/>
      <c r="K77" s="160"/>
      <c r="L77" s="166"/>
      <c r="M77" s="165"/>
      <c r="N77" s="165"/>
      <c r="O77" s="165"/>
      <c r="P77" s="160"/>
      <c r="Q77" s="166"/>
      <c r="R77" s="165"/>
      <c r="S77" s="165"/>
      <c r="T77" s="159"/>
      <c r="U77" s="160"/>
      <c r="V77" s="165"/>
      <c r="W77" s="165"/>
      <c r="X77" s="160"/>
      <c r="Y77" s="166"/>
      <c r="Z77" s="160"/>
      <c r="AA77" s="160"/>
      <c r="AB77" s="165"/>
      <c r="AC77" s="165"/>
      <c r="AD77" s="165"/>
      <c r="AE77" s="165"/>
      <c r="AF77" s="160"/>
      <c r="AG77" s="160"/>
      <c r="AH77" s="160"/>
      <c r="AI77" s="160"/>
      <c r="AJ77" s="161"/>
      <c r="AK77" s="162"/>
      <c r="AL77" s="165"/>
      <c r="AM77" s="166"/>
      <c r="AN77" s="165"/>
      <c r="AO77" s="160"/>
      <c r="AP77" s="162"/>
      <c r="AQ77" s="161"/>
      <c r="AR77" s="162"/>
      <c r="AS77" s="161"/>
      <c r="AT77" s="165"/>
      <c r="AU77" s="166"/>
      <c r="AV77" s="165"/>
      <c r="AW77" s="166"/>
      <c r="AX77" s="165"/>
      <c r="AY77" s="160"/>
      <c r="AZ77" s="165"/>
      <c r="BA77" s="165">
        <v>223.14017000000001</v>
      </c>
      <c r="BB77" s="166"/>
      <c r="BC77" s="165"/>
      <c r="BD77" s="165"/>
      <c r="BE77" s="165"/>
      <c r="BF77" s="165"/>
      <c r="BG77" s="165"/>
      <c r="BH77" s="165"/>
      <c r="BI77" s="165"/>
      <c r="BJ77" s="166"/>
      <c r="BK77" s="165"/>
      <c r="BL77" s="165"/>
      <c r="BM77" s="163"/>
      <c r="BN77" s="165"/>
      <c r="BO77" s="165"/>
      <c r="BP77" s="165"/>
      <c r="BQ77" s="167"/>
    </row>
    <row r="78" spans="1:270" ht="39.950000000000003" customHeight="1" outlineLevel="1" x14ac:dyDescent="0.3">
      <c r="A78" s="17" t="s">
        <v>103</v>
      </c>
      <c r="B78" s="12" t="s">
        <v>104</v>
      </c>
      <c r="C78" s="9" t="s">
        <v>6</v>
      </c>
      <c r="D78" s="66" t="s">
        <v>105</v>
      </c>
      <c r="E78" s="158">
        <f t="shared" si="13"/>
        <v>2456.95397</v>
      </c>
      <c r="F78" s="159">
        <f t="shared" si="11"/>
        <v>395.97059000000002</v>
      </c>
      <c r="G78" s="160">
        <f t="shared" si="12"/>
        <v>2060.9833800000001</v>
      </c>
      <c r="H78" s="166">
        <v>128.29687999999999</v>
      </c>
      <c r="I78" s="160">
        <v>42.765619999999998</v>
      </c>
      <c r="J78" s="163"/>
      <c r="K78" s="160"/>
      <c r="L78" s="166">
        <v>267.67371000000003</v>
      </c>
      <c r="M78" s="165">
        <v>419.52945</v>
      </c>
      <c r="N78" s="165"/>
      <c r="O78" s="165"/>
      <c r="P78" s="160"/>
      <c r="Q78" s="166"/>
      <c r="R78" s="165"/>
      <c r="S78" s="165"/>
      <c r="T78" s="159"/>
      <c r="U78" s="160"/>
      <c r="V78" s="165"/>
      <c r="W78" s="165"/>
      <c r="X78" s="160"/>
      <c r="Y78" s="166"/>
      <c r="Z78" s="160"/>
      <c r="AA78" s="160"/>
      <c r="AB78" s="165"/>
      <c r="AC78" s="165"/>
      <c r="AD78" s="165"/>
      <c r="AE78" s="165"/>
      <c r="AF78" s="160"/>
      <c r="AG78" s="160"/>
      <c r="AH78" s="160"/>
      <c r="AI78" s="160"/>
      <c r="AJ78" s="161"/>
      <c r="AK78" s="162"/>
      <c r="AL78" s="165"/>
      <c r="AM78" s="166"/>
      <c r="AN78" s="165"/>
      <c r="AO78" s="160"/>
      <c r="AP78" s="162"/>
      <c r="AQ78" s="161"/>
      <c r="AR78" s="162"/>
      <c r="AS78" s="161"/>
      <c r="AT78" s="165"/>
      <c r="AU78" s="166"/>
      <c r="AV78" s="165"/>
      <c r="AW78" s="166"/>
      <c r="AX78" s="165"/>
      <c r="AY78" s="160"/>
      <c r="AZ78" s="165"/>
      <c r="BA78" s="165">
        <v>1598.68831</v>
      </c>
      <c r="BB78" s="166"/>
      <c r="BC78" s="165"/>
      <c r="BD78" s="165"/>
      <c r="BE78" s="165"/>
      <c r="BF78" s="165"/>
      <c r="BG78" s="165"/>
      <c r="BH78" s="165"/>
      <c r="BI78" s="165"/>
      <c r="BJ78" s="166"/>
      <c r="BK78" s="165"/>
      <c r="BL78" s="165"/>
      <c r="BM78" s="163"/>
      <c r="BN78" s="165"/>
      <c r="BO78" s="165"/>
      <c r="BP78" s="165"/>
      <c r="BQ78" s="167"/>
    </row>
    <row r="79" spans="1:270" ht="39.950000000000003" customHeight="1" outlineLevel="1" x14ac:dyDescent="0.3">
      <c r="A79" s="15" t="s">
        <v>103</v>
      </c>
      <c r="B79" s="14" t="s">
        <v>106</v>
      </c>
      <c r="C79" s="9" t="s">
        <v>6</v>
      </c>
      <c r="D79" s="66" t="s">
        <v>107</v>
      </c>
      <c r="E79" s="158">
        <f t="shared" si="13"/>
        <v>35091.462409999993</v>
      </c>
      <c r="F79" s="159">
        <f t="shared" si="11"/>
        <v>4207.3300600000002</v>
      </c>
      <c r="G79" s="160">
        <f t="shared" si="12"/>
        <v>30884.132349999996</v>
      </c>
      <c r="H79" s="166"/>
      <c r="I79" s="160"/>
      <c r="J79" s="160">
        <v>480</v>
      </c>
      <c r="K79" s="160"/>
      <c r="L79" s="166">
        <v>1204.3659500000001</v>
      </c>
      <c r="M79" s="165">
        <v>1887.6227200000001</v>
      </c>
      <c r="N79" s="165"/>
      <c r="O79" s="165"/>
      <c r="P79" s="160"/>
      <c r="Q79" s="166"/>
      <c r="R79" s="165"/>
      <c r="S79" s="165"/>
      <c r="T79" s="159"/>
      <c r="U79" s="160"/>
      <c r="V79" s="165">
        <v>10500</v>
      </c>
      <c r="W79" s="165"/>
      <c r="X79" s="160"/>
      <c r="Y79" s="166">
        <v>2609.1633000000002</v>
      </c>
      <c r="Z79" s="160">
        <v>869.72109999999998</v>
      </c>
      <c r="AA79" s="160">
        <v>11232.514709999999</v>
      </c>
      <c r="AB79" s="165"/>
      <c r="AC79" s="165"/>
      <c r="AD79" s="165"/>
      <c r="AE79" s="165"/>
      <c r="AF79" s="160"/>
      <c r="AG79" s="160"/>
      <c r="AH79" s="160"/>
      <c r="AI79" s="160"/>
      <c r="AJ79" s="161"/>
      <c r="AK79" s="162"/>
      <c r="AL79" s="165"/>
      <c r="AM79" s="166"/>
      <c r="AN79" s="165"/>
      <c r="AO79" s="160"/>
      <c r="AP79" s="162"/>
      <c r="AQ79" s="161"/>
      <c r="AR79" s="162"/>
      <c r="AS79" s="161"/>
      <c r="AT79" s="165"/>
      <c r="AU79" s="166"/>
      <c r="AV79" s="165"/>
      <c r="AW79" s="166">
        <v>393.80081000000001</v>
      </c>
      <c r="AX79" s="165">
        <f>39.89154+117.62881</f>
        <v>157.52035000000001</v>
      </c>
      <c r="AY79" s="160"/>
      <c r="AZ79" s="165"/>
      <c r="BA79" s="165">
        <v>91.963470000000001</v>
      </c>
      <c r="BB79" s="166"/>
      <c r="BC79" s="165"/>
      <c r="BD79" s="165"/>
      <c r="BE79" s="165"/>
      <c r="BF79" s="165"/>
      <c r="BG79" s="165">
        <v>156.25</v>
      </c>
      <c r="BH79" s="165">
        <v>5508.54</v>
      </c>
      <c r="BI79" s="165"/>
      <c r="BJ79" s="166"/>
      <c r="BK79" s="165"/>
      <c r="BL79" s="165"/>
      <c r="BM79" s="163"/>
      <c r="BN79" s="165"/>
      <c r="BO79" s="165"/>
      <c r="BP79" s="165"/>
      <c r="BQ79" s="167"/>
    </row>
    <row r="80" spans="1:270" ht="39.950000000000003" customHeight="1" outlineLevel="1" x14ac:dyDescent="0.3">
      <c r="A80" s="17" t="s">
        <v>103</v>
      </c>
      <c r="B80" s="12" t="s">
        <v>108</v>
      </c>
      <c r="C80" s="9" t="s">
        <v>6</v>
      </c>
      <c r="D80" s="66" t="s">
        <v>109</v>
      </c>
      <c r="E80" s="158">
        <f t="shared" si="13"/>
        <v>19050.919119999999</v>
      </c>
      <c r="F80" s="159">
        <f t="shared" si="11"/>
        <v>4477.4782800000003</v>
      </c>
      <c r="G80" s="160">
        <f t="shared" si="12"/>
        <v>14573.440839999999</v>
      </c>
      <c r="H80" s="166">
        <v>2563.4437499999999</v>
      </c>
      <c r="I80" s="160">
        <v>854.48125000000005</v>
      </c>
      <c r="J80" s="160"/>
      <c r="K80" s="160"/>
      <c r="L80" s="166">
        <v>1042.3681200000001</v>
      </c>
      <c r="M80" s="165">
        <v>1633.7208499999999</v>
      </c>
      <c r="N80" s="165"/>
      <c r="O80" s="165"/>
      <c r="P80" s="160"/>
      <c r="Q80" s="166"/>
      <c r="R80" s="165"/>
      <c r="S80" s="165">
        <v>163.19999999999999</v>
      </c>
      <c r="T80" s="159"/>
      <c r="U80" s="160"/>
      <c r="V80" s="165"/>
      <c r="W80" s="165"/>
      <c r="X80" s="160"/>
      <c r="Y80" s="166">
        <v>871.66641000000004</v>
      </c>
      <c r="Z80" s="160">
        <v>290.55547000000001</v>
      </c>
      <c r="AA80" s="160">
        <v>4347.9046399999997</v>
      </c>
      <c r="AB80" s="165"/>
      <c r="AC80" s="165"/>
      <c r="AD80" s="165"/>
      <c r="AE80" s="165"/>
      <c r="AF80" s="160"/>
      <c r="AG80" s="160"/>
      <c r="AH80" s="160"/>
      <c r="AI80" s="160"/>
      <c r="AJ80" s="161"/>
      <c r="AK80" s="162"/>
      <c r="AL80" s="165"/>
      <c r="AM80" s="166"/>
      <c r="AN80" s="165"/>
      <c r="AO80" s="160"/>
      <c r="AP80" s="162"/>
      <c r="AQ80" s="161"/>
      <c r="AR80" s="162"/>
      <c r="AS80" s="161"/>
      <c r="AT80" s="165"/>
      <c r="AU80" s="166"/>
      <c r="AV80" s="165"/>
      <c r="AW80" s="166"/>
      <c r="AX80" s="165"/>
      <c r="AY80" s="160">
        <v>181.23385999999999</v>
      </c>
      <c r="AZ80" s="165"/>
      <c r="BA80" s="165"/>
      <c r="BB80" s="166"/>
      <c r="BC80" s="165"/>
      <c r="BD80" s="165"/>
      <c r="BE80" s="165"/>
      <c r="BF80" s="165"/>
      <c r="BG80" s="165"/>
      <c r="BH80" s="165">
        <v>6000</v>
      </c>
      <c r="BI80" s="165"/>
      <c r="BJ80" s="166"/>
      <c r="BK80" s="165"/>
      <c r="BL80" s="165"/>
      <c r="BM80" s="163"/>
      <c r="BN80" s="165"/>
      <c r="BO80" s="165">
        <v>1102.3447699999999</v>
      </c>
      <c r="BP80" s="165"/>
      <c r="BQ80" s="167"/>
    </row>
    <row r="81" spans="1:69" ht="39.950000000000003" customHeight="1" outlineLevel="1" x14ac:dyDescent="0.3">
      <c r="A81" s="15" t="s">
        <v>103</v>
      </c>
      <c r="B81" s="14" t="s">
        <v>110</v>
      </c>
      <c r="C81" s="9" t="s">
        <v>6</v>
      </c>
      <c r="D81" s="66" t="s">
        <v>111</v>
      </c>
      <c r="E81" s="158">
        <f t="shared" si="13"/>
        <v>10025.39582</v>
      </c>
      <c r="F81" s="159">
        <f t="shared" si="11"/>
        <v>3250.6241799999998</v>
      </c>
      <c r="G81" s="160">
        <f t="shared" si="12"/>
        <v>6774.7716399999999</v>
      </c>
      <c r="H81" s="166"/>
      <c r="I81" s="160"/>
      <c r="J81" s="160"/>
      <c r="K81" s="160"/>
      <c r="L81" s="166">
        <v>1576.2820300000001</v>
      </c>
      <c r="M81" s="165">
        <v>2470.53296</v>
      </c>
      <c r="N81" s="165"/>
      <c r="O81" s="165"/>
      <c r="P81" s="160"/>
      <c r="Q81" s="166"/>
      <c r="R81" s="165"/>
      <c r="S81" s="165"/>
      <c r="T81" s="159"/>
      <c r="U81" s="160"/>
      <c r="V81" s="165"/>
      <c r="W81" s="165"/>
      <c r="X81" s="160"/>
      <c r="Y81" s="166">
        <v>991.97076000000004</v>
      </c>
      <c r="Z81" s="160">
        <v>330.65692000000001</v>
      </c>
      <c r="AA81" s="160"/>
      <c r="AB81" s="165"/>
      <c r="AC81" s="165"/>
      <c r="AD81" s="165"/>
      <c r="AE81" s="165"/>
      <c r="AF81" s="160"/>
      <c r="AG81" s="160"/>
      <c r="AH81" s="160"/>
      <c r="AI81" s="160">
        <v>798.19578000000001</v>
      </c>
      <c r="AJ81" s="161"/>
      <c r="AK81" s="162"/>
      <c r="AL81" s="165"/>
      <c r="AM81" s="166"/>
      <c r="AN81" s="165"/>
      <c r="AO81" s="160"/>
      <c r="AP81" s="162"/>
      <c r="AQ81" s="161"/>
      <c r="AR81" s="162"/>
      <c r="AS81" s="161"/>
      <c r="AT81" s="165"/>
      <c r="AU81" s="166"/>
      <c r="AV81" s="165"/>
      <c r="AW81" s="166">
        <v>682.37139000000002</v>
      </c>
      <c r="AX81" s="165">
        <f>4.44623+203.82522</f>
        <v>208.27145000000002</v>
      </c>
      <c r="AY81" s="160">
        <v>148.23972000000001</v>
      </c>
      <c r="AZ81" s="165"/>
      <c r="BA81" s="165"/>
      <c r="BB81" s="166"/>
      <c r="BC81" s="165"/>
      <c r="BD81" s="165"/>
      <c r="BE81" s="165"/>
      <c r="BF81" s="165">
        <v>2577.2081400000002</v>
      </c>
      <c r="BG81" s="165">
        <v>241.66667000000001</v>
      </c>
      <c r="BH81" s="165"/>
      <c r="BI81" s="165"/>
      <c r="BJ81" s="166"/>
      <c r="BK81" s="165"/>
      <c r="BL81" s="165"/>
      <c r="BM81" s="163"/>
      <c r="BN81" s="165"/>
      <c r="BO81" s="165"/>
      <c r="BP81" s="165"/>
      <c r="BQ81" s="167"/>
    </row>
    <row r="82" spans="1:69" ht="39.950000000000003" customHeight="1" outlineLevel="1" x14ac:dyDescent="0.3">
      <c r="A82" s="15" t="s">
        <v>103</v>
      </c>
      <c r="B82" s="14" t="s">
        <v>112</v>
      </c>
      <c r="C82" s="18" t="s">
        <v>6</v>
      </c>
      <c r="D82" s="66" t="s">
        <v>113</v>
      </c>
      <c r="E82" s="158">
        <f t="shared" si="13"/>
        <v>5878.0680000000002</v>
      </c>
      <c r="F82" s="159">
        <f t="shared" si="11"/>
        <v>4408.5510000000004</v>
      </c>
      <c r="G82" s="160">
        <f t="shared" si="12"/>
        <v>1469.5170000000001</v>
      </c>
      <c r="H82" s="166">
        <v>4408.5510000000004</v>
      </c>
      <c r="I82" s="160">
        <v>1469.5170000000001</v>
      </c>
      <c r="J82" s="160"/>
      <c r="K82" s="160"/>
      <c r="L82" s="166"/>
      <c r="M82" s="165"/>
      <c r="N82" s="165"/>
      <c r="O82" s="165"/>
      <c r="P82" s="160"/>
      <c r="Q82" s="166"/>
      <c r="R82" s="165"/>
      <c r="S82" s="165"/>
      <c r="T82" s="159"/>
      <c r="U82" s="160"/>
      <c r="V82" s="165"/>
      <c r="W82" s="165"/>
      <c r="X82" s="160"/>
      <c r="Y82" s="166"/>
      <c r="Z82" s="160"/>
      <c r="AA82" s="160"/>
      <c r="AB82" s="165"/>
      <c r="AC82" s="165"/>
      <c r="AD82" s="165"/>
      <c r="AE82" s="165"/>
      <c r="AF82" s="160"/>
      <c r="AG82" s="160"/>
      <c r="AH82" s="160"/>
      <c r="AI82" s="160"/>
      <c r="AJ82" s="161"/>
      <c r="AK82" s="162"/>
      <c r="AL82" s="165"/>
      <c r="AM82" s="166"/>
      <c r="AN82" s="165"/>
      <c r="AO82" s="160"/>
      <c r="AP82" s="162"/>
      <c r="AQ82" s="161"/>
      <c r="AR82" s="162"/>
      <c r="AS82" s="161"/>
      <c r="AT82" s="165"/>
      <c r="AU82" s="166"/>
      <c r="AV82" s="165"/>
      <c r="AW82" s="166"/>
      <c r="AX82" s="165"/>
      <c r="AY82" s="160"/>
      <c r="AZ82" s="165"/>
      <c r="BA82" s="165"/>
      <c r="BB82" s="166"/>
      <c r="BC82" s="165"/>
      <c r="BD82" s="165"/>
      <c r="BE82" s="165"/>
      <c r="BF82" s="165"/>
      <c r="BG82" s="165"/>
      <c r="BH82" s="165"/>
      <c r="BI82" s="165"/>
      <c r="BJ82" s="166"/>
      <c r="BK82" s="165"/>
      <c r="BL82" s="165"/>
      <c r="BM82" s="163"/>
      <c r="BN82" s="165"/>
      <c r="BO82" s="165"/>
      <c r="BP82" s="165"/>
      <c r="BQ82" s="167"/>
    </row>
    <row r="83" spans="1:69" ht="39.950000000000003" customHeight="1" outlineLevel="1" x14ac:dyDescent="0.3">
      <c r="A83" s="17" t="s">
        <v>103</v>
      </c>
      <c r="B83" s="12" t="s">
        <v>120</v>
      </c>
      <c r="C83" s="9" t="s">
        <v>6</v>
      </c>
      <c r="D83" s="66" t="s">
        <v>121</v>
      </c>
      <c r="E83" s="158">
        <f t="shared" si="13"/>
        <v>5392.2070999999996</v>
      </c>
      <c r="F83" s="159">
        <f t="shared" si="11"/>
        <v>2950.4785199999997</v>
      </c>
      <c r="G83" s="160">
        <f t="shared" si="12"/>
        <v>2441.72858</v>
      </c>
      <c r="H83" s="166">
        <v>1445.136</v>
      </c>
      <c r="I83" s="160">
        <v>481.71199999999999</v>
      </c>
      <c r="J83" s="160"/>
      <c r="K83" s="160"/>
      <c r="L83" s="166">
        <v>1121.59205</v>
      </c>
      <c r="M83" s="165">
        <v>1757.8898200000001</v>
      </c>
      <c r="N83" s="165"/>
      <c r="O83" s="165"/>
      <c r="P83" s="160"/>
      <c r="Q83" s="166"/>
      <c r="R83" s="165"/>
      <c r="S83" s="165"/>
      <c r="T83" s="159"/>
      <c r="U83" s="160"/>
      <c r="V83" s="165"/>
      <c r="W83" s="165"/>
      <c r="X83" s="160"/>
      <c r="Y83" s="166"/>
      <c r="Z83" s="160"/>
      <c r="AA83" s="160"/>
      <c r="AB83" s="165"/>
      <c r="AC83" s="165"/>
      <c r="AD83" s="165"/>
      <c r="AE83" s="165"/>
      <c r="AF83" s="160"/>
      <c r="AG83" s="160"/>
      <c r="AH83" s="160"/>
      <c r="AI83" s="160"/>
      <c r="AJ83" s="161"/>
      <c r="AK83" s="162"/>
      <c r="AL83" s="165"/>
      <c r="AM83" s="166"/>
      <c r="AN83" s="165"/>
      <c r="AO83" s="160"/>
      <c r="AP83" s="162"/>
      <c r="AQ83" s="161"/>
      <c r="AR83" s="162"/>
      <c r="AS83" s="161"/>
      <c r="AT83" s="165"/>
      <c r="AU83" s="166"/>
      <c r="AV83" s="165"/>
      <c r="AW83" s="166">
        <v>383.75047000000001</v>
      </c>
      <c r="AX83" s="165">
        <v>114.62676</v>
      </c>
      <c r="AY83" s="160"/>
      <c r="AZ83" s="165"/>
      <c r="BA83" s="165"/>
      <c r="BB83" s="166"/>
      <c r="BC83" s="165"/>
      <c r="BD83" s="165"/>
      <c r="BE83" s="165"/>
      <c r="BF83" s="165"/>
      <c r="BG83" s="165">
        <v>87.5</v>
      </c>
      <c r="BH83" s="165"/>
      <c r="BI83" s="165"/>
      <c r="BJ83" s="166"/>
      <c r="BK83" s="165"/>
      <c r="BL83" s="165"/>
      <c r="BM83" s="163"/>
      <c r="BN83" s="165"/>
      <c r="BO83" s="165"/>
      <c r="BP83" s="165"/>
      <c r="BQ83" s="167"/>
    </row>
    <row r="84" spans="1:69" ht="39.950000000000003" customHeight="1" outlineLevel="1" x14ac:dyDescent="0.3">
      <c r="A84" s="17" t="s">
        <v>103</v>
      </c>
      <c r="B84" s="12" t="s">
        <v>128</v>
      </c>
      <c r="C84" s="9" t="s">
        <v>6</v>
      </c>
      <c r="D84" s="66" t="s">
        <v>129</v>
      </c>
      <c r="E84" s="158">
        <f t="shared" si="13"/>
        <v>7073.2757999999994</v>
      </c>
      <c r="F84" s="159">
        <f t="shared" si="11"/>
        <v>1022.9376999999999</v>
      </c>
      <c r="G84" s="160">
        <f t="shared" si="12"/>
        <v>6050.3380999999999</v>
      </c>
      <c r="H84" s="166">
        <v>289.43774999999999</v>
      </c>
      <c r="I84" s="160">
        <v>96.479249999999993</v>
      </c>
      <c r="J84" s="160"/>
      <c r="K84" s="160"/>
      <c r="L84" s="166">
        <v>733.49995000000001</v>
      </c>
      <c r="M84" s="165">
        <v>1149.62663</v>
      </c>
      <c r="N84" s="165"/>
      <c r="O84" s="165"/>
      <c r="P84" s="160"/>
      <c r="Q84" s="166"/>
      <c r="R84" s="165"/>
      <c r="S84" s="165"/>
      <c r="T84" s="159"/>
      <c r="U84" s="160"/>
      <c r="V84" s="165"/>
      <c r="W84" s="165"/>
      <c r="X84" s="160"/>
      <c r="Y84" s="166"/>
      <c r="Z84" s="160"/>
      <c r="AA84" s="160"/>
      <c r="AB84" s="165"/>
      <c r="AC84" s="165"/>
      <c r="AD84" s="165"/>
      <c r="AE84" s="165"/>
      <c r="AF84" s="160"/>
      <c r="AG84" s="160"/>
      <c r="AH84" s="160"/>
      <c r="AI84" s="160"/>
      <c r="AJ84" s="161"/>
      <c r="AK84" s="162"/>
      <c r="AL84" s="165"/>
      <c r="AM84" s="166"/>
      <c r="AN84" s="165"/>
      <c r="AO84" s="160"/>
      <c r="AP84" s="162"/>
      <c r="AQ84" s="161"/>
      <c r="AR84" s="162"/>
      <c r="AS84" s="161"/>
      <c r="AT84" s="165"/>
      <c r="AU84" s="166"/>
      <c r="AV84" s="165"/>
      <c r="AW84" s="166"/>
      <c r="AX84" s="165"/>
      <c r="AY84" s="160"/>
      <c r="AZ84" s="165"/>
      <c r="BA84" s="165">
        <v>0.31712000000000001</v>
      </c>
      <c r="BB84" s="166"/>
      <c r="BC84" s="165"/>
      <c r="BD84" s="165"/>
      <c r="BE84" s="165"/>
      <c r="BF84" s="165"/>
      <c r="BG84" s="165"/>
      <c r="BH84" s="165">
        <v>4664.6840700000002</v>
      </c>
      <c r="BI84" s="165"/>
      <c r="BJ84" s="166"/>
      <c r="BK84" s="165"/>
      <c r="BL84" s="165"/>
      <c r="BM84" s="163"/>
      <c r="BN84" s="165"/>
      <c r="BO84" s="165">
        <v>139.23103</v>
      </c>
      <c r="BP84" s="165"/>
      <c r="BQ84" s="167"/>
    </row>
    <row r="85" spans="1:69" ht="39.950000000000003" customHeight="1" outlineLevel="1" x14ac:dyDescent="0.3">
      <c r="A85" s="17" t="s">
        <v>103</v>
      </c>
      <c r="B85" s="12" t="s">
        <v>1107</v>
      </c>
      <c r="C85" s="9" t="s">
        <v>6</v>
      </c>
      <c r="D85" s="66" t="s">
        <v>1165</v>
      </c>
      <c r="E85" s="158">
        <f t="shared" si="13"/>
        <v>686.39516000000003</v>
      </c>
      <c r="F85" s="159">
        <f t="shared" si="11"/>
        <v>232.36187000000001</v>
      </c>
      <c r="G85" s="160">
        <f t="shared" si="12"/>
        <v>454.03328999999997</v>
      </c>
      <c r="H85" s="166"/>
      <c r="I85" s="160"/>
      <c r="J85" s="160"/>
      <c r="K85" s="160"/>
      <c r="L85" s="166">
        <v>232.36187000000001</v>
      </c>
      <c r="M85" s="165">
        <v>364.18459999999999</v>
      </c>
      <c r="N85" s="165"/>
      <c r="O85" s="165"/>
      <c r="P85" s="160"/>
      <c r="Q85" s="166"/>
      <c r="R85" s="165"/>
      <c r="S85" s="165"/>
      <c r="T85" s="159"/>
      <c r="U85" s="160"/>
      <c r="V85" s="165"/>
      <c r="W85" s="165"/>
      <c r="X85" s="160"/>
      <c r="Y85" s="166"/>
      <c r="Z85" s="160"/>
      <c r="AA85" s="160"/>
      <c r="AB85" s="165"/>
      <c r="AC85" s="165"/>
      <c r="AD85" s="165"/>
      <c r="AE85" s="165"/>
      <c r="AF85" s="160"/>
      <c r="AG85" s="160"/>
      <c r="AH85" s="160"/>
      <c r="AI85" s="160"/>
      <c r="AJ85" s="161"/>
      <c r="AK85" s="162"/>
      <c r="AL85" s="165"/>
      <c r="AM85" s="166"/>
      <c r="AN85" s="165"/>
      <c r="AO85" s="160"/>
      <c r="AP85" s="162"/>
      <c r="AQ85" s="161"/>
      <c r="AR85" s="162"/>
      <c r="AS85" s="161"/>
      <c r="AT85" s="165"/>
      <c r="AU85" s="166"/>
      <c r="AV85" s="165"/>
      <c r="AW85" s="166"/>
      <c r="AX85" s="165"/>
      <c r="AY85" s="160"/>
      <c r="AZ85" s="165"/>
      <c r="BA85" s="165"/>
      <c r="BB85" s="166"/>
      <c r="BC85" s="165"/>
      <c r="BD85" s="165"/>
      <c r="BE85" s="165"/>
      <c r="BF85" s="165"/>
      <c r="BG85" s="165">
        <v>89.848690000000005</v>
      </c>
      <c r="BH85" s="165"/>
      <c r="BI85" s="165"/>
      <c r="BJ85" s="166"/>
      <c r="BK85" s="165"/>
      <c r="BL85" s="165"/>
      <c r="BM85" s="163"/>
      <c r="BN85" s="165"/>
      <c r="BO85" s="165"/>
      <c r="BP85" s="165"/>
      <c r="BQ85" s="167"/>
    </row>
    <row r="86" spans="1:69" ht="39.950000000000003" customHeight="1" outlineLevel="1" x14ac:dyDescent="0.3">
      <c r="A86" s="17" t="s">
        <v>103</v>
      </c>
      <c r="B86" s="14" t="s">
        <v>126</v>
      </c>
      <c r="C86" s="9" t="s">
        <v>6</v>
      </c>
      <c r="D86" s="66" t="s">
        <v>127</v>
      </c>
      <c r="E86" s="158">
        <f t="shared" si="13"/>
        <v>22741.736390000002</v>
      </c>
      <c r="F86" s="159">
        <f t="shared" si="11"/>
        <v>3379.8117400000001</v>
      </c>
      <c r="G86" s="160">
        <f t="shared" si="12"/>
        <v>19361.924650000001</v>
      </c>
      <c r="H86" s="166">
        <v>160.11449999999999</v>
      </c>
      <c r="I86" s="160">
        <v>53.371499999999997</v>
      </c>
      <c r="J86" s="160"/>
      <c r="K86" s="160"/>
      <c r="L86" s="166">
        <v>2883.5646400000001</v>
      </c>
      <c r="M86" s="165">
        <v>4519.45867</v>
      </c>
      <c r="N86" s="165"/>
      <c r="O86" s="165"/>
      <c r="P86" s="160"/>
      <c r="Q86" s="166"/>
      <c r="R86" s="165"/>
      <c r="S86" s="165"/>
      <c r="T86" s="159"/>
      <c r="U86" s="160"/>
      <c r="V86" s="165"/>
      <c r="W86" s="165"/>
      <c r="X86" s="160"/>
      <c r="Y86" s="166">
        <v>336.13260000000002</v>
      </c>
      <c r="Z86" s="160">
        <v>112.0442</v>
      </c>
      <c r="AA86" s="160"/>
      <c r="AB86" s="165"/>
      <c r="AC86" s="165"/>
      <c r="AD86" s="165"/>
      <c r="AE86" s="165"/>
      <c r="AF86" s="160"/>
      <c r="AG86" s="160"/>
      <c r="AH86" s="160"/>
      <c r="AI86" s="160">
        <v>813.46842000000004</v>
      </c>
      <c r="AJ86" s="161"/>
      <c r="AK86" s="162"/>
      <c r="AL86" s="165"/>
      <c r="AM86" s="166"/>
      <c r="AN86" s="165"/>
      <c r="AO86" s="160"/>
      <c r="AP86" s="162"/>
      <c r="AQ86" s="161"/>
      <c r="AR86" s="162"/>
      <c r="AS86" s="161"/>
      <c r="AT86" s="165"/>
      <c r="AU86" s="166"/>
      <c r="AV86" s="165"/>
      <c r="AW86" s="166"/>
      <c r="AX86" s="165"/>
      <c r="AY86" s="160"/>
      <c r="AZ86" s="165"/>
      <c r="BA86" s="165"/>
      <c r="BB86" s="166"/>
      <c r="BC86" s="165"/>
      <c r="BD86" s="165"/>
      <c r="BE86" s="165"/>
      <c r="BF86" s="165">
        <v>12775.452859999999</v>
      </c>
      <c r="BG86" s="165">
        <v>1088.1289999999999</v>
      </c>
      <c r="BH86" s="165"/>
      <c r="BI86" s="165"/>
      <c r="BJ86" s="166"/>
      <c r="BK86" s="165"/>
      <c r="BL86" s="165"/>
      <c r="BM86" s="163"/>
      <c r="BN86" s="165"/>
      <c r="BO86" s="165"/>
      <c r="BP86" s="165"/>
      <c r="BQ86" s="167"/>
    </row>
    <row r="87" spans="1:69" ht="39.950000000000003" customHeight="1" outlineLevel="1" x14ac:dyDescent="0.3">
      <c r="A87" s="19" t="s">
        <v>1360</v>
      </c>
      <c r="B87" s="14" t="s">
        <v>1115</v>
      </c>
      <c r="C87" s="9" t="s">
        <v>6</v>
      </c>
      <c r="D87" s="66" t="s">
        <v>1116</v>
      </c>
      <c r="E87" s="158">
        <f t="shared" si="13"/>
        <v>72438.661800000002</v>
      </c>
      <c r="F87" s="159">
        <f t="shared" si="11"/>
        <v>45324.514949999997</v>
      </c>
      <c r="G87" s="160">
        <f t="shared" si="12"/>
        <v>27114.146850000001</v>
      </c>
      <c r="H87" s="166"/>
      <c r="I87" s="165"/>
      <c r="J87" s="160"/>
      <c r="K87" s="160"/>
      <c r="L87" s="166"/>
      <c r="M87" s="165"/>
      <c r="N87" s="165"/>
      <c r="O87" s="165"/>
      <c r="P87" s="160"/>
      <c r="Q87" s="166"/>
      <c r="R87" s="165"/>
      <c r="S87" s="165"/>
      <c r="T87" s="159"/>
      <c r="U87" s="160"/>
      <c r="V87" s="165"/>
      <c r="W87" s="165"/>
      <c r="X87" s="160"/>
      <c r="Y87" s="166"/>
      <c r="Z87" s="160"/>
      <c r="AA87" s="160"/>
      <c r="AB87" s="165"/>
      <c r="AC87" s="165"/>
      <c r="AD87" s="165">
        <v>10000</v>
      </c>
      <c r="AE87" s="165"/>
      <c r="AF87" s="160"/>
      <c r="AG87" s="160"/>
      <c r="AH87" s="160"/>
      <c r="AI87" s="160"/>
      <c r="AJ87" s="161"/>
      <c r="AK87" s="162"/>
      <c r="AL87" s="165"/>
      <c r="AM87" s="166"/>
      <c r="AN87" s="165"/>
      <c r="AO87" s="160"/>
      <c r="AP87" s="162"/>
      <c r="AQ87" s="161"/>
      <c r="AR87" s="162"/>
      <c r="AS87" s="161"/>
      <c r="AT87" s="165"/>
      <c r="AU87" s="166"/>
      <c r="AV87" s="165"/>
      <c r="AW87" s="166"/>
      <c r="AX87" s="165"/>
      <c r="AY87" s="165"/>
      <c r="AZ87" s="165"/>
      <c r="BA87" s="165">
        <v>1861.0617500000001</v>
      </c>
      <c r="BB87" s="166">
        <v>45324.514949999997</v>
      </c>
      <c r="BC87" s="165">
        <v>15108.17165</v>
      </c>
      <c r="BD87" s="165"/>
      <c r="BE87" s="165"/>
      <c r="BF87" s="165"/>
      <c r="BG87" s="165"/>
      <c r="BH87" s="165"/>
      <c r="BI87" s="165"/>
      <c r="BJ87" s="166"/>
      <c r="BK87" s="165"/>
      <c r="BL87" s="165"/>
      <c r="BM87" s="163"/>
      <c r="BN87" s="165"/>
      <c r="BO87" s="165">
        <v>144.91345000000001</v>
      </c>
      <c r="BP87" s="165"/>
      <c r="BQ87" s="167"/>
    </row>
    <row r="88" spans="1:69" ht="39.950000000000003" customHeight="1" outlineLevel="1" x14ac:dyDescent="0.3">
      <c r="A88" s="15" t="s">
        <v>103</v>
      </c>
      <c r="B88" s="14" t="s">
        <v>114</v>
      </c>
      <c r="C88" s="9" t="s">
        <v>6</v>
      </c>
      <c r="D88" s="66" t="s">
        <v>115</v>
      </c>
      <c r="E88" s="158">
        <f t="shared" si="13"/>
        <v>425.66639999999995</v>
      </c>
      <c r="F88" s="159">
        <f t="shared" si="11"/>
        <v>165.80206999999999</v>
      </c>
      <c r="G88" s="160">
        <f t="shared" si="12"/>
        <v>259.86433</v>
      </c>
      <c r="H88" s="166"/>
      <c r="I88" s="160"/>
      <c r="J88" s="160"/>
      <c r="K88" s="160"/>
      <c r="L88" s="166">
        <v>165.80206999999999</v>
      </c>
      <c r="M88" s="165">
        <v>259.86433</v>
      </c>
      <c r="N88" s="165"/>
      <c r="O88" s="165"/>
      <c r="P88" s="160"/>
      <c r="Q88" s="166"/>
      <c r="R88" s="165"/>
      <c r="S88" s="165"/>
      <c r="T88" s="159"/>
      <c r="U88" s="160"/>
      <c r="V88" s="165"/>
      <c r="W88" s="165"/>
      <c r="X88" s="160"/>
      <c r="Y88" s="166"/>
      <c r="Z88" s="160"/>
      <c r="AA88" s="160"/>
      <c r="AB88" s="165"/>
      <c r="AC88" s="165"/>
      <c r="AD88" s="165"/>
      <c r="AE88" s="165"/>
      <c r="AF88" s="160"/>
      <c r="AG88" s="160"/>
      <c r="AH88" s="160"/>
      <c r="AI88" s="160"/>
      <c r="AJ88" s="161"/>
      <c r="AK88" s="162"/>
      <c r="AL88" s="165"/>
      <c r="AM88" s="166"/>
      <c r="AN88" s="165"/>
      <c r="AO88" s="160"/>
      <c r="AP88" s="162"/>
      <c r="AQ88" s="161"/>
      <c r="AR88" s="162"/>
      <c r="AS88" s="161"/>
      <c r="AT88" s="165"/>
      <c r="AU88" s="166"/>
      <c r="AV88" s="165"/>
      <c r="AW88" s="166"/>
      <c r="AX88" s="165"/>
      <c r="AY88" s="160"/>
      <c r="AZ88" s="165"/>
      <c r="BA88" s="165"/>
      <c r="BB88" s="166"/>
      <c r="BC88" s="165"/>
      <c r="BD88" s="165"/>
      <c r="BE88" s="165"/>
      <c r="BF88" s="165"/>
      <c r="BG88" s="165"/>
      <c r="BH88" s="165"/>
      <c r="BI88" s="165"/>
      <c r="BJ88" s="166"/>
      <c r="BK88" s="165"/>
      <c r="BL88" s="165"/>
      <c r="BM88" s="163"/>
      <c r="BN88" s="165"/>
      <c r="BO88" s="165"/>
      <c r="BP88" s="165"/>
      <c r="BQ88" s="167"/>
    </row>
    <row r="89" spans="1:69" ht="39.950000000000003" customHeight="1" outlineLevel="1" x14ac:dyDescent="0.3">
      <c r="A89" s="17" t="s">
        <v>103</v>
      </c>
      <c r="B89" s="12" t="s">
        <v>116</v>
      </c>
      <c r="C89" s="9" t="s">
        <v>6</v>
      </c>
      <c r="D89" s="66" t="s">
        <v>117</v>
      </c>
      <c r="E89" s="158">
        <f t="shared" si="13"/>
        <v>12333.004700000001</v>
      </c>
      <c r="F89" s="159">
        <f t="shared" si="11"/>
        <v>2397.9793499999996</v>
      </c>
      <c r="G89" s="160">
        <f t="shared" si="12"/>
        <v>9935.0253500000017</v>
      </c>
      <c r="H89" s="166">
        <v>301.75425000000001</v>
      </c>
      <c r="I89" s="160">
        <v>100.58475</v>
      </c>
      <c r="J89" s="160"/>
      <c r="K89" s="160"/>
      <c r="L89" s="166">
        <v>857.50064999999995</v>
      </c>
      <c r="M89" s="165">
        <v>1343.9749899999999</v>
      </c>
      <c r="N89" s="165"/>
      <c r="O89" s="165"/>
      <c r="P89" s="160"/>
      <c r="Q89" s="166"/>
      <c r="R89" s="165"/>
      <c r="S89" s="165"/>
      <c r="T89" s="159"/>
      <c r="U89" s="160"/>
      <c r="V89" s="165"/>
      <c r="W89" s="165"/>
      <c r="X89" s="160"/>
      <c r="Y89" s="166">
        <v>1182.1240499999999</v>
      </c>
      <c r="Z89" s="160">
        <v>394.04135000000002</v>
      </c>
      <c r="AA89" s="160">
        <v>6118.1045100000001</v>
      </c>
      <c r="AB89" s="165"/>
      <c r="AC89" s="165"/>
      <c r="AD89" s="165"/>
      <c r="AE89" s="165"/>
      <c r="AF89" s="160"/>
      <c r="AG89" s="160"/>
      <c r="AH89" s="160"/>
      <c r="AI89" s="160">
        <v>623.07899999999995</v>
      </c>
      <c r="AJ89" s="161"/>
      <c r="AK89" s="162"/>
      <c r="AL89" s="165"/>
      <c r="AM89" s="166"/>
      <c r="AN89" s="165"/>
      <c r="AO89" s="160"/>
      <c r="AP89" s="162"/>
      <c r="AQ89" s="161"/>
      <c r="AR89" s="162"/>
      <c r="AS89" s="161"/>
      <c r="AT89" s="165"/>
      <c r="AU89" s="166"/>
      <c r="AV89" s="165"/>
      <c r="AW89" s="166">
        <f>16.66432+39.93608</f>
        <v>56.600399999999993</v>
      </c>
      <c r="AX89" s="165">
        <f>1.38841+3.67462+4.97766+11.92896</f>
        <v>21.969650000000001</v>
      </c>
      <c r="AY89" s="160"/>
      <c r="AZ89" s="165"/>
      <c r="BA89" s="165">
        <v>486.56599999999997</v>
      </c>
      <c r="BB89" s="166"/>
      <c r="BC89" s="165"/>
      <c r="BD89" s="165"/>
      <c r="BE89" s="165"/>
      <c r="BF89" s="165"/>
      <c r="BG89" s="165"/>
      <c r="BH89" s="165"/>
      <c r="BI89" s="165"/>
      <c r="BJ89" s="166"/>
      <c r="BK89" s="165"/>
      <c r="BL89" s="165"/>
      <c r="BM89" s="163"/>
      <c r="BN89" s="165"/>
      <c r="BO89" s="165">
        <v>846.70510000000002</v>
      </c>
      <c r="BP89" s="165"/>
      <c r="BQ89" s="167"/>
    </row>
    <row r="90" spans="1:69" ht="39.950000000000003" customHeight="1" outlineLevel="1" x14ac:dyDescent="0.3">
      <c r="A90" s="17" t="s">
        <v>103</v>
      </c>
      <c r="B90" s="12" t="s">
        <v>118</v>
      </c>
      <c r="C90" s="9" t="s">
        <v>6</v>
      </c>
      <c r="D90" s="66" t="s">
        <v>119</v>
      </c>
      <c r="E90" s="158">
        <f t="shared" si="13"/>
        <v>6691.6549999999997</v>
      </c>
      <c r="F90" s="159">
        <f t="shared" si="11"/>
        <v>1412.19057</v>
      </c>
      <c r="G90" s="160">
        <f t="shared" si="12"/>
        <v>5279.46443</v>
      </c>
      <c r="H90" s="166">
        <v>343.15609000000001</v>
      </c>
      <c r="I90" s="160">
        <v>114.38536000000001</v>
      </c>
      <c r="J90" s="160"/>
      <c r="K90" s="160"/>
      <c r="L90" s="166">
        <v>643.27000999999996</v>
      </c>
      <c r="M90" s="165">
        <v>1008.20776</v>
      </c>
      <c r="N90" s="165"/>
      <c r="O90" s="165"/>
      <c r="P90" s="160"/>
      <c r="Q90" s="166"/>
      <c r="R90" s="165"/>
      <c r="S90" s="165"/>
      <c r="T90" s="159"/>
      <c r="U90" s="160"/>
      <c r="V90" s="165"/>
      <c r="W90" s="165"/>
      <c r="X90" s="160"/>
      <c r="Y90" s="166">
        <v>425.76447000000002</v>
      </c>
      <c r="Z90" s="160">
        <v>141.92149000000001</v>
      </c>
      <c r="AA90" s="160">
        <v>1859.2972199999999</v>
      </c>
      <c r="AB90" s="165"/>
      <c r="AC90" s="165"/>
      <c r="AD90" s="165"/>
      <c r="AE90" s="165"/>
      <c r="AF90" s="160"/>
      <c r="AG90" s="160"/>
      <c r="AH90" s="160"/>
      <c r="AI90" s="160"/>
      <c r="AJ90" s="161"/>
      <c r="AK90" s="162"/>
      <c r="AL90" s="165"/>
      <c r="AM90" s="166"/>
      <c r="AN90" s="165"/>
      <c r="AO90" s="160"/>
      <c r="AP90" s="162"/>
      <c r="AQ90" s="161"/>
      <c r="AR90" s="162"/>
      <c r="AS90" s="161"/>
      <c r="AT90" s="165"/>
      <c r="AU90" s="166"/>
      <c r="AV90" s="165"/>
      <c r="AW90" s="166"/>
      <c r="AX90" s="165"/>
      <c r="AY90" s="160"/>
      <c r="AZ90" s="165"/>
      <c r="BA90" s="165">
        <v>155.65260000000001</v>
      </c>
      <c r="BB90" s="166"/>
      <c r="BC90" s="165"/>
      <c r="BD90" s="165"/>
      <c r="BE90" s="165"/>
      <c r="BF90" s="165"/>
      <c r="BG90" s="165">
        <v>2000</v>
      </c>
      <c r="BH90" s="165"/>
      <c r="BI90" s="165"/>
      <c r="BJ90" s="166"/>
      <c r="BK90" s="165"/>
      <c r="BL90" s="165"/>
      <c r="BM90" s="163"/>
      <c r="BN90" s="165"/>
      <c r="BO90" s="165"/>
      <c r="BP90" s="165"/>
      <c r="BQ90" s="167"/>
    </row>
    <row r="91" spans="1:69" ht="39.950000000000003" customHeight="1" outlineLevel="1" x14ac:dyDescent="0.3">
      <c r="A91" s="17" t="s">
        <v>103</v>
      </c>
      <c r="B91" s="12" t="s">
        <v>122</v>
      </c>
      <c r="C91" s="9" t="s">
        <v>6</v>
      </c>
      <c r="D91" s="66" t="s">
        <v>123</v>
      </c>
      <c r="E91" s="158">
        <f t="shared" si="13"/>
        <v>260.45922000000002</v>
      </c>
      <c r="F91" s="159">
        <f t="shared" si="11"/>
        <v>65.516509999999997</v>
      </c>
      <c r="G91" s="160">
        <f t="shared" si="12"/>
        <v>194.94271000000003</v>
      </c>
      <c r="H91" s="166"/>
      <c r="I91" s="160"/>
      <c r="J91" s="160"/>
      <c r="K91" s="160"/>
      <c r="L91" s="166">
        <v>65.516509999999997</v>
      </c>
      <c r="M91" s="165">
        <v>102.68510000000001</v>
      </c>
      <c r="N91" s="165"/>
      <c r="O91" s="165"/>
      <c r="P91" s="160"/>
      <c r="Q91" s="166"/>
      <c r="R91" s="165"/>
      <c r="S91" s="165"/>
      <c r="T91" s="159"/>
      <c r="U91" s="160"/>
      <c r="V91" s="165"/>
      <c r="W91" s="165"/>
      <c r="X91" s="160"/>
      <c r="Y91" s="166"/>
      <c r="Z91" s="160"/>
      <c r="AA91" s="160"/>
      <c r="AB91" s="165"/>
      <c r="AC91" s="165"/>
      <c r="AD91" s="165"/>
      <c r="AE91" s="165"/>
      <c r="AF91" s="160"/>
      <c r="AG91" s="160"/>
      <c r="AH91" s="160"/>
      <c r="AI91" s="160"/>
      <c r="AJ91" s="161"/>
      <c r="AK91" s="162"/>
      <c r="AL91" s="165"/>
      <c r="AM91" s="166"/>
      <c r="AN91" s="165"/>
      <c r="AO91" s="160"/>
      <c r="AP91" s="162"/>
      <c r="AQ91" s="161"/>
      <c r="AR91" s="162"/>
      <c r="AS91" s="161"/>
      <c r="AT91" s="165"/>
      <c r="AU91" s="166"/>
      <c r="AV91" s="165"/>
      <c r="AW91" s="166"/>
      <c r="AX91" s="165"/>
      <c r="AY91" s="160"/>
      <c r="AZ91" s="165"/>
      <c r="BA91" s="165">
        <v>37.758200000000002</v>
      </c>
      <c r="BB91" s="166"/>
      <c r="BC91" s="165"/>
      <c r="BD91" s="165"/>
      <c r="BE91" s="165">
        <v>54.499409999999997</v>
      </c>
      <c r="BF91" s="165"/>
      <c r="BG91" s="165"/>
      <c r="BH91" s="165"/>
      <c r="BI91" s="165"/>
      <c r="BJ91" s="166"/>
      <c r="BK91" s="165"/>
      <c r="BL91" s="165"/>
      <c r="BM91" s="163"/>
      <c r="BN91" s="165"/>
      <c r="BO91" s="165"/>
      <c r="BP91" s="165"/>
      <c r="BQ91" s="167"/>
    </row>
    <row r="92" spans="1:69" ht="39.950000000000003" customHeight="1" outlineLevel="1" x14ac:dyDescent="0.3">
      <c r="A92" s="17" t="s">
        <v>103</v>
      </c>
      <c r="B92" s="12" t="s">
        <v>124</v>
      </c>
      <c r="C92" s="9" t="s">
        <v>6</v>
      </c>
      <c r="D92" s="66" t="s">
        <v>125</v>
      </c>
      <c r="E92" s="158">
        <f t="shared" si="13"/>
        <v>3805.7192900000005</v>
      </c>
      <c r="F92" s="159">
        <f t="shared" si="11"/>
        <v>91.074860000000001</v>
      </c>
      <c r="G92" s="160">
        <f t="shared" si="12"/>
        <v>3714.6444300000003</v>
      </c>
      <c r="H92" s="166"/>
      <c r="I92" s="160"/>
      <c r="J92" s="160"/>
      <c r="K92" s="160"/>
      <c r="L92" s="166">
        <v>91.074860000000001</v>
      </c>
      <c r="M92" s="165">
        <v>142.74314000000001</v>
      </c>
      <c r="N92" s="165"/>
      <c r="O92" s="165"/>
      <c r="P92" s="160"/>
      <c r="Q92" s="166"/>
      <c r="R92" s="165"/>
      <c r="S92" s="165"/>
      <c r="T92" s="159"/>
      <c r="U92" s="160"/>
      <c r="V92" s="165"/>
      <c r="W92" s="165"/>
      <c r="X92" s="160"/>
      <c r="Y92" s="166"/>
      <c r="Z92" s="160"/>
      <c r="AA92" s="160"/>
      <c r="AB92" s="165"/>
      <c r="AC92" s="165"/>
      <c r="AD92" s="165"/>
      <c r="AE92" s="165"/>
      <c r="AF92" s="160"/>
      <c r="AG92" s="160"/>
      <c r="AH92" s="160"/>
      <c r="AI92" s="160"/>
      <c r="AJ92" s="161"/>
      <c r="AK92" s="162"/>
      <c r="AL92" s="165"/>
      <c r="AM92" s="166"/>
      <c r="AN92" s="165"/>
      <c r="AO92" s="160"/>
      <c r="AP92" s="162"/>
      <c r="AQ92" s="161"/>
      <c r="AR92" s="162"/>
      <c r="AS92" s="161"/>
      <c r="AT92" s="165"/>
      <c r="AU92" s="166"/>
      <c r="AV92" s="165"/>
      <c r="AW92" s="166"/>
      <c r="AX92" s="165"/>
      <c r="AY92" s="160">
        <v>253.94855000000001</v>
      </c>
      <c r="AZ92" s="165"/>
      <c r="BA92" s="165"/>
      <c r="BB92" s="166"/>
      <c r="BC92" s="165"/>
      <c r="BD92" s="165"/>
      <c r="BE92" s="165"/>
      <c r="BF92" s="165"/>
      <c r="BG92" s="165">
        <v>52.5</v>
      </c>
      <c r="BH92" s="165">
        <v>3000</v>
      </c>
      <c r="BI92" s="165"/>
      <c r="BJ92" s="166"/>
      <c r="BK92" s="165"/>
      <c r="BL92" s="165"/>
      <c r="BM92" s="163"/>
      <c r="BN92" s="165"/>
      <c r="BO92" s="165">
        <v>265.45274000000001</v>
      </c>
      <c r="BP92" s="165"/>
      <c r="BQ92" s="167"/>
    </row>
    <row r="93" spans="1:69" ht="39.950000000000003" customHeight="1" outlineLevel="1" x14ac:dyDescent="0.3">
      <c r="A93" s="17" t="s">
        <v>103</v>
      </c>
      <c r="B93" s="12" t="s">
        <v>130</v>
      </c>
      <c r="C93" s="9" t="s">
        <v>6</v>
      </c>
      <c r="D93" s="66" t="s">
        <v>131</v>
      </c>
      <c r="E93" s="158">
        <f t="shared" si="13"/>
        <v>240.25621999999998</v>
      </c>
      <c r="F93" s="159">
        <f t="shared" si="11"/>
        <v>93.582620000000006</v>
      </c>
      <c r="G93" s="160">
        <f t="shared" si="12"/>
        <v>146.67359999999999</v>
      </c>
      <c r="H93" s="166"/>
      <c r="I93" s="160"/>
      <c r="J93" s="160"/>
      <c r="K93" s="160"/>
      <c r="L93" s="166">
        <v>93.582620000000006</v>
      </c>
      <c r="M93" s="165">
        <v>146.67359999999999</v>
      </c>
      <c r="N93" s="165"/>
      <c r="O93" s="165"/>
      <c r="P93" s="160"/>
      <c r="Q93" s="166"/>
      <c r="R93" s="165"/>
      <c r="S93" s="165"/>
      <c r="T93" s="159"/>
      <c r="U93" s="160"/>
      <c r="V93" s="165"/>
      <c r="W93" s="165"/>
      <c r="X93" s="160"/>
      <c r="Y93" s="166"/>
      <c r="Z93" s="160"/>
      <c r="AA93" s="160"/>
      <c r="AB93" s="165"/>
      <c r="AC93" s="165"/>
      <c r="AD93" s="165"/>
      <c r="AE93" s="165"/>
      <c r="AF93" s="160"/>
      <c r="AG93" s="160"/>
      <c r="AH93" s="160"/>
      <c r="AI93" s="160"/>
      <c r="AJ93" s="161"/>
      <c r="AK93" s="162"/>
      <c r="AL93" s="165"/>
      <c r="AM93" s="166"/>
      <c r="AN93" s="165"/>
      <c r="AO93" s="160"/>
      <c r="AP93" s="162"/>
      <c r="AQ93" s="161"/>
      <c r="AR93" s="162"/>
      <c r="AS93" s="161"/>
      <c r="AT93" s="165"/>
      <c r="AU93" s="166"/>
      <c r="AV93" s="165"/>
      <c r="AW93" s="166"/>
      <c r="AX93" s="165"/>
      <c r="AY93" s="160"/>
      <c r="AZ93" s="165"/>
      <c r="BA93" s="165"/>
      <c r="BB93" s="166"/>
      <c r="BC93" s="165"/>
      <c r="BD93" s="165"/>
      <c r="BE93" s="165"/>
      <c r="BF93" s="165"/>
      <c r="BG93" s="165"/>
      <c r="BH93" s="165"/>
      <c r="BI93" s="165"/>
      <c r="BJ93" s="166"/>
      <c r="BK93" s="165"/>
      <c r="BL93" s="165"/>
      <c r="BM93" s="163"/>
      <c r="BN93" s="165"/>
      <c r="BO93" s="165"/>
      <c r="BP93" s="165"/>
      <c r="BQ93" s="167"/>
    </row>
    <row r="94" spans="1:69" ht="39.950000000000003" customHeight="1" outlineLevel="1" x14ac:dyDescent="0.3">
      <c r="A94" s="17" t="s">
        <v>103</v>
      </c>
      <c r="B94" s="12" t="s">
        <v>132</v>
      </c>
      <c r="C94" s="9" t="s">
        <v>6</v>
      </c>
      <c r="D94" s="66" t="s">
        <v>133</v>
      </c>
      <c r="E94" s="158">
        <f t="shared" si="13"/>
        <v>1407.8845299999998</v>
      </c>
      <c r="F94" s="159">
        <f t="shared" si="11"/>
        <v>405.99150999999995</v>
      </c>
      <c r="G94" s="160">
        <f t="shared" si="12"/>
        <v>1001.89302</v>
      </c>
      <c r="H94" s="166">
        <v>131.376</v>
      </c>
      <c r="I94" s="160">
        <v>43.792000000000002</v>
      </c>
      <c r="J94" s="163"/>
      <c r="K94" s="160"/>
      <c r="L94" s="166">
        <v>274.61550999999997</v>
      </c>
      <c r="M94" s="165">
        <v>430.40944999999999</v>
      </c>
      <c r="N94" s="165"/>
      <c r="O94" s="165"/>
      <c r="P94" s="160"/>
      <c r="Q94" s="166"/>
      <c r="R94" s="165"/>
      <c r="S94" s="165"/>
      <c r="T94" s="159"/>
      <c r="U94" s="160"/>
      <c r="V94" s="165"/>
      <c r="W94" s="165"/>
      <c r="X94" s="160"/>
      <c r="Y94" s="166"/>
      <c r="Z94" s="160"/>
      <c r="AA94" s="160"/>
      <c r="AB94" s="165"/>
      <c r="AC94" s="165"/>
      <c r="AD94" s="165"/>
      <c r="AE94" s="165"/>
      <c r="AF94" s="160"/>
      <c r="AG94" s="160"/>
      <c r="AH94" s="160"/>
      <c r="AI94" s="160"/>
      <c r="AJ94" s="161"/>
      <c r="AK94" s="162"/>
      <c r="AL94" s="165"/>
      <c r="AM94" s="166"/>
      <c r="AN94" s="165"/>
      <c r="AO94" s="160"/>
      <c r="AP94" s="162"/>
      <c r="AQ94" s="161"/>
      <c r="AR94" s="162"/>
      <c r="AS94" s="161"/>
      <c r="AT94" s="165"/>
      <c r="AU94" s="166"/>
      <c r="AV94" s="165"/>
      <c r="AW94" s="166"/>
      <c r="AX94" s="165"/>
      <c r="AY94" s="160"/>
      <c r="AZ94" s="165"/>
      <c r="BA94" s="165">
        <v>527.69156999999996</v>
      </c>
      <c r="BB94" s="166"/>
      <c r="BC94" s="165"/>
      <c r="BD94" s="165"/>
      <c r="BE94" s="165"/>
      <c r="BF94" s="165"/>
      <c r="BG94" s="165"/>
      <c r="BH94" s="165"/>
      <c r="BI94" s="165"/>
      <c r="BJ94" s="166"/>
      <c r="BK94" s="165"/>
      <c r="BL94" s="165"/>
      <c r="BM94" s="163"/>
      <c r="BN94" s="165"/>
      <c r="BO94" s="165"/>
      <c r="BP94" s="165"/>
      <c r="BQ94" s="167"/>
    </row>
    <row r="95" spans="1:69" ht="39.950000000000003" customHeight="1" outlineLevel="1" x14ac:dyDescent="0.3">
      <c r="A95" s="17" t="s">
        <v>103</v>
      </c>
      <c r="B95" s="12" t="s">
        <v>134</v>
      </c>
      <c r="C95" s="9" t="s">
        <v>6</v>
      </c>
      <c r="D95" s="66" t="s">
        <v>135</v>
      </c>
      <c r="E95" s="158">
        <f t="shared" si="13"/>
        <v>1141.64455</v>
      </c>
      <c r="F95" s="159">
        <f t="shared" si="11"/>
        <v>456.02214999999995</v>
      </c>
      <c r="G95" s="160">
        <f t="shared" si="12"/>
        <v>685.62240000000008</v>
      </c>
      <c r="H95" s="166"/>
      <c r="I95" s="160"/>
      <c r="J95" s="160"/>
      <c r="K95" s="160"/>
      <c r="L95" s="166">
        <v>428.74937999999997</v>
      </c>
      <c r="M95" s="165">
        <v>671.98602000000005</v>
      </c>
      <c r="N95" s="165"/>
      <c r="O95" s="165"/>
      <c r="P95" s="160"/>
      <c r="Q95" s="166"/>
      <c r="R95" s="165"/>
      <c r="S95" s="165"/>
      <c r="T95" s="159"/>
      <c r="U95" s="160"/>
      <c r="V95" s="165"/>
      <c r="W95" s="165"/>
      <c r="X95" s="160"/>
      <c r="Y95" s="166"/>
      <c r="Z95" s="160"/>
      <c r="AA95" s="160"/>
      <c r="AB95" s="165"/>
      <c r="AC95" s="165"/>
      <c r="AD95" s="165"/>
      <c r="AE95" s="165"/>
      <c r="AF95" s="160"/>
      <c r="AG95" s="160"/>
      <c r="AH95" s="160"/>
      <c r="AI95" s="160"/>
      <c r="AJ95" s="161"/>
      <c r="AK95" s="162"/>
      <c r="AL95" s="165"/>
      <c r="AM95" s="166"/>
      <c r="AN95" s="165"/>
      <c r="AO95" s="160"/>
      <c r="AP95" s="162"/>
      <c r="AQ95" s="161"/>
      <c r="AR95" s="162"/>
      <c r="AS95" s="161"/>
      <c r="AT95" s="165"/>
      <c r="AU95" s="166"/>
      <c r="AV95" s="165"/>
      <c r="AW95" s="166">
        <v>27.272770000000001</v>
      </c>
      <c r="AX95" s="165">
        <f>5.48997+8.14641</f>
        <v>13.636379999999999</v>
      </c>
      <c r="AY95" s="160"/>
      <c r="AZ95" s="165"/>
      <c r="BA95" s="165"/>
      <c r="BB95" s="166"/>
      <c r="BC95" s="165"/>
      <c r="BD95" s="165"/>
      <c r="BE95" s="165"/>
      <c r="BF95" s="165"/>
      <c r="BG95" s="165"/>
      <c r="BH95" s="165"/>
      <c r="BI95" s="165"/>
      <c r="BJ95" s="166"/>
      <c r="BK95" s="165"/>
      <c r="BL95" s="165"/>
      <c r="BM95" s="163"/>
      <c r="BN95" s="165"/>
      <c r="BO95" s="165"/>
      <c r="BP95" s="165"/>
      <c r="BQ95" s="167"/>
    </row>
    <row r="96" spans="1:69" ht="39.950000000000003" customHeight="1" outlineLevel="1" x14ac:dyDescent="0.3">
      <c r="A96" s="17" t="s">
        <v>103</v>
      </c>
      <c r="B96" s="12" t="s">
        <v>136</v>
      </c>
      <c r="C96" s="9" t="s">
        <v>6</v>
      </c>
      <c r="D96" s="66" t="s">
        <v>137</v>
      </c>
      <c r="E96" s="158">
        <f t="shared" si="13"/>
        <v>1002.37742</v>
      </c>
      <c r="F96" s="159">
        <f t="shared" si="11"/>
        <v>304.01885000000004</v>
      </c>
      <c r="G96" s="160">
        <f t="shared" si="12"/>
        <v>698.35856999999999</v>
      </c>
      <c r="H96" s="166">
        <v>17.482520000000001</v>
      </c>
      <c r="I96" s="160">
        <v>5.8275199999999998</v>
      </c>
      <c r="J96" s="160"/>
      <c r="K96" s="160"/>
      <c r="L96" s="166">
        <v>286.53633000000002</v>
      </c>
      <c r="M96" s="165">
        <v>449.09314000000001</v>
      </c>
      <c r="N96" s="165"/>
      <c r="O96" s="165"/>
      <c r="P96" s="160"/>
      <c r="Q96" s="166"/>
      <c r="R96" s="165"/>
      <c r="S96" s="165"/>
      <c r="T96" s="159"/>
      <c r="U96" s="160"/>
      <c r="V96" s="165"/>
      <c r="W96" s="165"/>
      <c r="X96" s="160"/>
      <c r="Y96" s="166"/>
      <c r="Z96" s="160"/>
      <c r="AA96" s="160"/>
      <c r="AB96" s="165"/>
      <c r="AC96" s="165"/>
      <c r="AD96" s="165"/>
      <c r="AE96" s="165"/>
      <c r="AF96" s="160"/>
      <c r="AG96" s="160"/>
      <c r="AH96" s="160"/>
      <c r="AI96" s="160"/>
      <c r="AJ96" s="161"/>
      <c r="AK96" s="162"/>
      <c r="AL96" s="165"/>
      <c r="AM96" s="166"/>
      <c r="AN96" s="165"/>
      <c r="AO96" s="160"/>
      <c r="AP96" s="162"/>
      <c r="AQ96" s="161"/>
      <c r="AR96" s="162"/>
      <c r="AS96" s="161"/>
      <c r="AT96" s="165"/>
      <c r="AU96" s="166"/>
      <c r="AV96" s="165"/>
      <c r="AW96" s="166"/>
      <c r="AX96" s="165"/>
      <c r="AY96" s="160"/>
      <c r="AZ96" s="165"/>
      <c r="BA96" s="165">
        <v>187.95590999999999</v>
      </c>
      <c r="BB96" s="166"/>
      <c r="BC96" s="165"/>
      <c r="BD96" s="165"/>
      <c r="BE96" s="165"/>
      <c r="BF96" s="165"/>
      <c r="BG96" s="165"/>
      <c r="BH96" s="165"/>
      <c r="BI96" s="165"/>
      <c r="BJ96" s="166"/>
      <c r="BK96" s="165"/>
      <c r="BL96" s="165"/>
      <c r="BM96" s="163"/>
      <c r="BN96" s="165"/>
      <c r="BO96" s="165">
        <v>55.481999999999999</v>
      </c>
      <c r="BP96" s="165"/>
      <c r="BQ96" s="167"/>
    </row>
    <row r="97" spans="1:270" ht="39.950000000000003" customHeight="1" outlineLevel="1" x14ac:dyDescent="0.3">
      <c r="A97" s="17" t="s">
        <v>103</v>
      </c>
      <c r="B97" s="12" t="s">
        <v>138</v>
      </c>
      <c r="C97" s="9" t="s">
        <v>6</v>
      </c>
      <c r="D97" s="66" t="s">
        <v>139</v>
      </c>
      <c r="E97" s="158">
        <f t="shared" si="13"/>
        <v>1299.4713499999998</v>
      </c>
      <c r="F97" s="159">
        <f t="shared" si="11"/>
        <v>605.86797999999999</v>
      </c>
      <c r="G97" s="160">
        <f t="shared" si="12"/>
        <v>693.60336999999993</v>
      </c>
      <c r="H97" s="166">
        <v>149.85075000000001</v>
      </c>
      <c r="I97" s="160">
        <v>49.950249999999997</v>
      </c>
      <c r="J97" s="163"/>
      <c r="K97" s="160"/>
      <c r="L97" s="159">
        <v>309.59464000000003</v>
      </c>
      <c r="M97" s="165">
        <v>485.23280999999997</v>
      </c>
      <c r="N97" s="165"/>
      <c r="O97" s="165"/>
      <c r="P97" s="160"/>
      <c r="Q97" s="166"/>
      <c r="R97" s="165"/>
      <c r="S97" s="165"/>
      <c r="T97" s="159"/>
      <c r="U97" s="160"/>
      <c r="V97" s="165"/>
      <c r="W97" s="165"/>
      <c r="X97" s="160"/>
      <c r="Y97" s="166"/>
      <c r="Z97" s="160"/>
      <c r="AA97" s="160"/>
      <c r="AB97" s="165"/>
      <c r="AC97" s="165"/>
      <c r="AD97" s="165"/>
      <c r="AE97" s="165"/>
      <c r="AF97" s="160"/>
      <c r="AG97" s="160"/>
      <c r="AH97" s="160"/>
      <c r="AI97" s="160"/>
      <c r="AJ97" s="161"/>
      <c r="AK97" s="162"/>
      <c r="AL97" s="165"/>
      <c r="AM97" s="166"/>
      <c r="AN97" s="165"/>
      <c r="AO97" s="160"/>
      <c r="AP97" s="162"/>
      <c r="AQ97" s="161"/>
      <c r="AR97" s="162"/>
      <c r="AS97" s="161"/>
      <c r="AT97" s="165"/>
      <c r="AU97" s="166"/>
      <c r="AV97" s="165"/>
      <c r="AW97" s="166">
        <v>146.42259000000001</v>
      </c>
      <c r="AX97" s="165">
        <v>43.736620000000002</v>
      </c>
      <c r="AY97" s="160"/>
      <c r="AZ97" s="165"/>
      <c r="BA97" s="165">
        <v>114.68369</v>
      </c>
      <c r="BB97" s="166"/>
      <c r="BC97" s="165"/>
      <c r="BD97" s="165"/>
      <c r="BE97" s="165"/>
      <c r="BF97" s="165"/>
      <c r="BG97" s="165"/>
      <c r="BH97" s="165"/>
      <c r="BI97" s="165"/>
      <c r="BJ97" s="166"/>
      <c r="BK97" s="165"/>
      <c r="BL97" s="165"/>
      <c r="BM97" s="163"/>
      <c r="BN97" s="165"/>
      <c r="BO97" s="165"/>
      <c r="BP97" s="165"/>
      <c r="BQ97" s="167"/>
    </row>
    <row r="98" spans="1:270" ht="39.950000000000003" customHeight="1" outlineLevel="1" x14ac:dyDescent="0.3">
      <c r="A98" s="17" t="s">
        <v>103</v>
      </c>
      <c r="B98" s="12" t="s">
        <v>140</v>
      </c>
      <c r="C98" s="9" t="s">
        <v>6</v>
      </c>
      <c r="D98" s="66" t="s">
        <v>141</v>
      </c>
      <c r="E98" s="158">
        <f t="shared" si="13"/>
        <v>172.86426</v>
      </c>
      <c r="F98" s="159">
        <f t="shared" si="11"/>
        <v>67.332660000000004</v>
      </c>
      <c r="G98" s="160">
        <f t="shared" si="12"/>
        <v>105.5316</v>
      </c>
      <c r="H98" s="166"/>
      <c r="I98" s="160"/>
      <c r="J98" s="160"/>
      <c r="K98" s="160"/>
      <c r="L98" s="166">
        <v>67.332660000000004</v>
      </c>
      <c r="M98" s="165">
        <v>105.5316</v>
      </c>
      <c r="N98" s="165"/>
      <c r="O98" s="165"/>
      <c r="P98" s="160"/>
      <c r="Q98" s="166"/>
      <c r="R98" s="165"/>
      <c r="S98" s="165"/>
      <c r="T98" s="159"/>
      <c r="U98" s="160"/>
      <c r="V98" s="165"/>
      <c r="W98" s="165"/>
      <c r="X98" s="160"/>
      <c r="Y98" s="166"/>
      <c r="Z98" s="160"/>
      <c r="AA98" s="160"/>
      <c r="AB98" s="165"/>
      <c r="AC98" s="165"/>
      <c r="AD98" s="165"/>
      <c r="AE98" s="165"/>
      <c r="AF98" s="160"/>
      <c r="AG98" s="160"/>
      <c r="AH98" s="160"/>
      <c r="AI98" s="160"/>
      <c r="AJ98" s="161"/>
      <c r="AK98" s="162"/>
      <c r="AL98" s="165"/>
      <c r="AM98" s="166"/>
      <c r="AN98" s="165"/>
      <c r="AO98" s="160"/>
      <c r="AP98" s="162"/>
      <c r="AQ98" s="161"/>
      <c r="AR98" s="162"/>
      <c r="AS98" s="161"/>
      <c r="AT98" s="165"/>
      <c r="AU98" s="166"/>
      <c r="AV98" s="165"/>
      <c r="AW98" s="166"/>
      <c r="AX98" s="165"/>
      <c r="AY98" s="160"/>
      <c r="AZ98" s="165"/>
      <c r="BA98" s="165"/>
      <c r="BB98" s="166"/>
      <c r="BC98" s="165"/>
      <c r="BD98" s="165"/>
      <c r="BE98" s="165"/>
      <c r="BF98" s="165"/>
      <c r="BG98" s="165"/>
      <c r="BH98" s="165"/>
      <c r="BI98" s="165"/>
      <c r="BJ98" s="166"/>
      <c r="BK98" s="165"/>
      <c r="BL98" s="165"/>
      <c r="BM98" s="163"/>
      <c r="BN98" s="165"/>
      <c r="BO98" s="165"/>
      <c r="BP98" s="165"/>
      <c r="BQ98" s="167"/>
    </row>
    <row r="99" spans="1:270" ht="39.950000000000003" customHeight="1" outlineLevel="1" x14ac:dyDescent="0.3">
      <c r="A99" s="17" t="s">
        <v>103</v>
      </c>
      <c r="B99" s="12" t="s">
        <v>142</v>
      </c>
      <c r="C99" s="9" t="s">
        <v>6</v>
      </c>
      <c r="D99" s="66" t="s">
        <v>143</v>
      </c>
      <c r="E99" s="158">
        <f t="shared" si="13"/>
        <v>1112.2224799999999</v>
      </c>
      <c r="F99" s="159">
        <f t="shared" si="11"/>
        <v>418.03390000000002</v>
      </c>
      <c r="G99" s="160">
        <f t="shared" si="12"/>
        <v>694.18858</v>
      </c>
      <c r="H99" s="166">
        <v>377.70600000000002</v>
      </c>
      <c r="I99" s="160">
        <v>125.902</v>
      </c>
      <c r="J99" s="160"/>
      <c r="K99" s="160"/>
      <c r="L99" s="166">
        <v>40.3279</v>
      </c>
      <c r="M99" s="165">
        <v>63.206580000000002</v>
      </c>
      <c r="N99" s="165"/>
      <c r="O99" s="165"/>
      <c r="P99" s="160"/>
      <c r="Q99" s="166"/>
      <c r="R99" s="165"/>
      <c r="S99" s="165">
        <v>55.8</v>
      </c>
      <c r="T99" s="159"/>
      <c r="U99" s="160"/>
      <c r="V99" s="165"/>
      <c r="W99" s="165">
        <v>449.28</v>
      </c>
      <c r="X99" s="160"/>
      <c r="Y99" s="166"/>
      <c r="Z99" s="160"/>
      <c r="AA99" s="160"/>
      <c r="AB99" s="165"/>
      <c r="AC99" s="165"/>
      <c r="AD99" s="165"/>
      <c r="AE99" s="165"/>
      <c r="AF99" s="160"/>
      <c r="AG99" s="160"/>
      <c r="AH99" s="160"/>
      <c r="AI99" s="160"/>
      <c r="AJ99" s="161"/>
      <c r="AK99" s="162"/>
      <c r="AL99" s="165"/>
      <c r="AM99" s="166"/>
      <c r="AN99" s="165"/>
      <c r="AO99" s="160"/>
      <c r="AP99" s="162"/>
      <c r="AQ99" s="161"/>
      <c r="AR99" s="162"/>
      <c r="AS99" s="161"/>
      <c r="AT99" s="165"/>
      <c r="AU99" s="166"/>
      <c r="AV99" s="165"/>
      <c r="AW99" s="166"/>
      <c r="AX99" s="165"/>
      <c r="AY99" s="160"/>
      <c r="AZ99" s="165"/>
      <c r="BA99" s="165"/>
      <c r="BB99" s="166"/>
      <c r="BC99" s="165"/>
      <c r="BD99" s="165"/>
      <c r="BE99" s="165"/>
      <c r="BF99" s="165"/>
      <c r="BG99" s="165"/>
      <c r="BH99" s="165"/>
      <c r="BI99" s="165"/>
      <c r="BJ99" s="166"/>
      <c r="BK99" s="165"/>
      <c r="BL99" s="165"/>
      <c r="BM99" s="163"/>
      <c r="BN99" s="165"/>
      <c r="BO99" s="165"/>
      <c r="BP99" s="165"/>
      <c r="BQ99" s="167"/>
    </row>
    <row r="100" spans="1:270" s="34" customFormat="1" ht="39.950000000000003" customHeight="1" x14ac:dyDescent="0.3">
      <c r="A100" s="114" t="s">
        <v>153</v>
      </c>
      <c r="B100" s="115"/>
      <c r="C100" s="116" t="s">
        <v>80</v>
      </c>
      <c r="D100" s="117"/>
      <c r="E100" s="173">
        <f t="shared" ref="E100:AI100" si="14">SUBTOTAL(9,E69:E99)</f>
        <v>229056.68324000001</v>
      </c>
      <c r="F100" s="173">
        <f t="shared" si="14"/>
        <v>76450.596549999987</v>
      </c>
      <c r="G100" s="173">
        <f t="shared" si="14"/>
        <v>152606.08669</v>
      </c>
      <c r="H100" s="173">
        <f t="shared" si="14"/>
        <v>10316.305489999999</v>
      </c>
      <c r="I100" s="173">
        <f t="shared" si="14"/>
        <v>3438.7685000000001</v>
      </c>
      <c r="J100" s="173">
        <f t="shared" si="14"/>
        <v>480</v>
      </c>
      <c r="K100" s="173">
        <f t="shared" si="14"/>
        <v>0</v>
      </c>
      <c r="L100" s="173">
        <f t="shared" si="14"/>
        <v>12637.324059999999</v>
      </c>
      <c r="M100" s="173">
        <f t="shared" si="14"/>
        <v>19806.687549999995</v>
      </c>
      <c r="N100" s="173">
        <f t="shared" si="14"/>
        <v>0</v>
      </c>
      <c r="O100" s="173">
        <f>SUBTOTAL(9,O69:O99)</f>
        <v>0</v>
      </c>
      <c r="P100" s="173">
        <f>SUBTOTAL(9,P69:P99)</f>
        <v>0</v>
      </c>
      <c r="Q100" s="173">
        <f t="shared" si="14"/>
        <v>0</v>
      </c>
      <c r="R100" s="173">
        <f t="shared" si="14"/>
        <v>0</v>
      </c>
      <c r="S100" s="173">
        <f t="shared" si="14"/>
        <v>219</v>
      </c>
      <c r="T100" s="173">
        <f>SUBTOTAL(9,T69:T99)</f>
        <v>0</v>
      </c>
      <c r="U100" s="173">
        <f>SUBTOTAL(9,U69:U99)</f>
        <v>0</v>
      </c>
      <c r="V100" s="173">
        <f t="shared" si="14"/>
        <v>10500</v>
      </c>
      <c r="W100" s="173">
        <f t="shared" si="14"/>
        <v>449.28</v>
      </c>
      <c r="X100" s="173">
        <f>SUBTOTAL(9,X69:X99)</f>
        <v>0</v>
      </c>
      <c r="Y100" s="173">
        <f t="shared" si="14"/>
        <v>6482.2336200000009</v>
      </c>
      <c r="Z100" s="173">
        <f t="shared" si="14"/>
        <v>2160.7445399999997</v>
      </c>
      <c r="AA100" s="173">
        <f t="shared" si="14"/>
        <v>23853.38998</v>
      </c>
      <c r="AB100" s="173">
        <f t="shared" si="14"/>
        <v>0</v>
      </c>
      <c r="AC100" s="173">
        <f t="shared" si="14"/>
        <v>0</v>
      </c>
      <c r="AD100" s="173">
        <f>SUBTOTAL(9,AD69:AD99)</f>
        <v>10000</v>
      </c>
      <c r="AE100" s="173">
        <f t="shared" si="14"/>
        <v>0</v>
      </c>
      <c r="AF100" s="173">
        <f t="shared" si="14"/>
        <v>0</v>
      </c>
      <c r="AG100" s="173">
        <f t="shared" si="14"/>
        <v>0</v>
      </c>
      <c r="AH100" s="173">
        <f t="shared" si="14"/>
        <v>0</v>
      </c>
      <c r="AI100" s="173">
        <f t="shared" si="14"/>
        <v>2234.7431999999999</v>
      </c>
      <c r="AJ100" s="173">
        <f t="shared" ref="AJ100:BQ100" si="15">SUBTOTAL(9,AJ69:AJ99)</f>
        <v>5931.9750000000004</v>
      </c>
      <c r="AK100" s="173">
        <f t="shared" si="15"/>
        <v>0</v>
      </c>
      <c r="AL100" s="173">
        <f t="shared" si="15"/>
        <v>0</v>
      </c>
      <c r="AM100" s="173">
        <f>SUBTOTAL(9,AM69:AM99)</f>
        <v>0</v>
      </c>
      <c r="AN100" s="173">
        <f>SUBTOTAL(9,AN69:AN99)</f>
        <v>0</v>
      </c>
      <c r="AO100" s="173">
        <f>SUBTOTAL(9,AO69:AO99)</f>
        <v>0</v>
      </c>
      <c r="AP100" s="173">
        <f t="shared" si="15"/>
        <v>0</v>
      </c>
      <c r="AQ100" s="173">
        <f t="shared" si="15"/>
        <v>0</v>
      </c>
      <c r="AR100" s="173">
        <f t="shared" si="15"/>
        <v>0</v>
      </c>
      <c r="AS100" s="173">
        <f t="shared" si="15"/>
        <v>0</v>
      </c>
      <c r="AT100" s="173">
        <f>SUBTOTAL(9,AT69:AT99)</f>
        <v>0</v>
      </c>
      <c r="AU100" s="173">
        <f t="shared" si="15"/>
        <v>0</v>
      </c>
      <c r="AV100" s="173">
        <f t="shared" si="15"/>
        <v>0</v>
      </c>
      <c r="AW100" s="173">
        <f t="shared" si="15"/>
        <v>1690.2184299999999</v>
      </c>
      <c r="AX100" s="173">
        <f t="shared" si="15"/>
        <v>559.76121000000001</v>
      </c>
      <c r="AY100" s="173">
        <f t="shared" si="15"/>
        <v>583.42212999999992</v>
      </c>
      <c r="AZ100" s="173">
        <f t="shared" si="15"/>
        <v>0</v>
      </c>
      <c r="BA100" s="173">
        <f t="shared" si="15"/>
        <v>5395.7349999999997</v>
      </c>
      <c r="BB100" s="173">
        <f t="shared" si="15"/>
        <v>45324.514949999997</v>
      </c>
      <c r="BC100" s="173">
        <f t="shared" si="15"/>
        <v>15108.17165</v>
      </c>
      <c r="BD100" s="173">
        <f t="shared" si="15"/>
        <v>0</v>
      </c>
      <c r="BE100" s="173">
        <f t="shared" si="15"/>
        <v>54.499409999999997</v>
      </c>
      <c r="BF100" s="173">
        <f t="shared" si="15"/>
        <v>15352.661</v>
      </c>
      <c r="BG100" s="173">
        <f t="shared" si="15"/>
        <v>3715.8943599999998</v>
      </c>
      <c r="BH100" s="173">
        <f t="shared" si="15"/>
        <v>19173.22407</v>
      </c>
      <c r="BI100" s="173">
        <f t="shared" si="15"/>
        <v>0</v>
      </c>
      <c r="BJ100" s="173">
        <f t="shared" si="15"/>
        <v>0</v>
      </c>
      <c r="BK100" s="173">
        <f t="shared" si="15"/>
        <v>0</v>
      </c>
      <c r="BL100" s="173">
        <f t="shared" si="15"/>
        <v>0</v>
      </c>
      <c r="BM100" s="174">
        <f>SUBTOTAL(9,BM69:BM99)</f>
        <v>11034</v>
      </c>
      <c r="BN100" s="173">
        <f t="shared" si="15"/>
        <v>0</v>
      </c>
      <c r="BO100" s="173">
        <f t="shared" si="15"/>
        <v>2554.1290899999999</v>
      </c>
      <c r="BP100" s="173">
        <f t="shared" si="15"/>
        <v>0</v>
      </c>
      <c r="BQ100" s="174">
        <f t="shared" si="15"/>
        <v>0</v>
      </c>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c r="DV100" s="40"/>
      <c r="DW100" s="40"/>
      <c r="DX100" s="40"/>
      <c r="DY100" s="40"/>
      <c r="DZ100" s="40"/>
      <c r="EA100" s="40"/>
      <c r="EB100" s="40"/>
      <c r="EC100" s="40"/>
      <c r="ED100" s="40"/>
      <c r="EE100" s="40"/>
      <c r="EF100" s="40"/>
      <c r="EG100" s="40"/>
      <c r="EH100" s="40"/>
      <c r="EI100" s="40"/>
      <c r="EJ100" s="40"/>
      <c r="EK100" s="40"/>
      <c r="EL100" s="40"/>
      <c r="EM100" s="40"/>
      <c r="EN100" s="40"/>
      <c r="EO100" s="40"/>
      <c r="EP100" s="40"/>
      <c r="EQ100" s="40"/>
      <c r="ER100" s="40"/>
      <c r="ES100" s="40"/>
      <c r="ET100" s="40"/>
      <c r="EU100" s="40"/>
      <c r="EV100" s="40"/>
      <c r="EW100" s="40"/>
      <c r="EX100" s="40"/>
      <c r="EY100" s="40"/>
      <c r="EZ100" s="40"/>
      <c r="FA100" s="40"/>
      <c r="FB100" s="40"/>
      <c r="FC100" s="40"/>
      <c r="FD100" s="40"/>
      <c r="FE100" s="40"/>
      <c r="FF100" s="40"/>
      <c r="FG100" s="40"/>
      <c r="FH100" s="40"/>
      <c r="FI100" s="40"/>
      <c r="FJ100" s="40"/>
      <c r="FK100" s="40"/>
      <c r="FL100" s="40"/>
      <c r="FM100" s="40"/>
      <c r="FN100" s="40"/>
      <c r="FO100" s="40"/>
      <c r="FP100" s="40"/>
      <c r="FQ100" s="40"/>
      <c r="FR100" s="40"/>
      <c r="FS100" s="40"/>
      <c r="FT100" s="40"/>
      <c r="FU100" s="40"/>
      <c r="FV100" s="40"/>
      <c r="FW100" s="40"/>
      <c r="FX100" s="40"/>
      <c r="FY100" s="40"/>
      <c r="FZ100" s="40"/>
      <c r="GA100" s="40"/>
      <c r="GB100" s="40"/>
      <c r="GC100" s="40"/>
      <c r="GD100" s="40"/>
      <c r="GE100" s="40"/>
      <c r="GF100" s="40"/>
      <c r="GG100" s="40"/>
      <c r="GH100" s="40"/>
      <c r="GI100" s="40"/>
      <c r="GJ100" s="40"/>
      <c r="GK100" s="40"/>
      <c r="GL100" s="40"/>
      <c r="GM100" s="40"/>
      <c r="GN100" s="40"/>
      <c r="GO100" s="40"/>
      <c r="GP100" s="40"/>
      <c r="GQ100" s="40"/>
      <c r="GR100" s="40"/>
      <c r="GS100" s="40"/>
      <c r="GT100" s="40"/>
      <c r="GU100" s="40"/>
      <c r="GV100" s="40"/>
      <c r="GW100" s="40"/>
      <c r="GX100" s="40"/>
      <c r="GY100" s="40"/>
      <c r="GZ100" s="40"/>
      <c r="HA100" s="40"/>
      <c r="HB100" s="40"/>
      <c r="HC100" s="40"/>
      <c r="HD100" s="40"/>
      <c r="HE100" s="40"/>
      <c r="HF100" s="40"/>
      <c r="HG100" s="40"/>
      <c r="HH100" s="40"/>
      <c r="HI100" s="40"/>
      <c r="HJ100" s="40"/>
      <c r="HK100" s="40"/>
      <c r="HL100" s="40"/>
      <c r="HM100" s="40"/>
      <c r="HN100" s="40"/>
      <c r="HO100" s="40"/>
      <c r="HP100" s="40"/>
      <c r="HQ100" s="40"/>
      <c r="HR100" s="40"/>
      <c r="HS100" s="40"/>
      <c r="HT100" s="40"/>
      <c r="HU100" s="40"/>
      <c r="HV100" s="40"/>
      <c r="HW100" s="40"/>
      <c r="HX100" s="40"/>
      <c r="HY100" s="40"/>
      <c r="HZ100" s="40"/>
      <c r="IA100" s="40"/>
      <c r="IB100" s="40"/>
      <c r="IC100" s="40"/>
      <c r="ID100" s="40"/>
      <c r="IE100" s="40"/>
      <c r="IF100" s="40"/>
      <c r="IG100" s="40"/>
      <c r="IH100" s="40"/>
      <c r="II100" s="40"/>
      <c r="IJ100" s="40"/>
      <c r="IK100" s="40"/>
      <c r="IL100" s="40"/>
      <c r="IM100" s="40"/>
      <c r="IN100" s="40"/>
      <c r="IO100" s="40"/>
      <c r="IP100" s="40"/>
      <c r="IQ100" s="40"/>
      <c r="IR100" s="40"/>
      <c r="IS100" s="40"/>
      <c r="IT100" s="40"/>
      <c r="IU100" s="40"/>
      <c r="IV100" s="40"/>
      <c r="IW100" s="40"/>
      <c r="IX100" s="40"/>
      <c r="IY100" s="40"/>
      <c r="IZ100" s="40"/>
      <c r="JA100" s="40"/>
      <c r="JB100" s="40"/>
      <c r="JC100" s="40"/>
      <c r="JD100" s="40"/>
      <c r="JE100" s="40"/>
      <c r="JF100" s="40"/>
      <c r="JG100" s="40"/>
      <c r="JH100" s="40"/>
      <c r="JI100" s="40"/>
      <c r="JJ100" s="40"/>
    </row>
    <row r="101" spans="1:270" ht="39.950000000000003" customHeight="1" outlineLevel="1" x14ac:dyDescent="0.3">
      <c r="A101" s="15" t="s">
        <v>154</v>
      </c>
      <c r="B101" s="14" t="s">
        <v>167</v>
      </c>
      <c r="C101" s="9" t="s">
        <v>28</v>
      </c>
      <c r="D101" s="66" t="s">
        <v>168</v>
      </c>
      <c r="E101" s="158">
        <f t="shared" ref="E101:E139" si="16">F101+G101</f>
        <v>507.84831000000003</v>
      </c>
      <c r="F101" s="159">
        <f t="shared" ref="F101:F139" si="17">H101+L101+Q101+Y101+T101+AK101+AP101+AM101+AR101+AU101+AW101+BB101+BJ101</f>
        <v>14.40531</v>
      </c>
      <c r="G101" s="160">
        <f t="shared" ref="G101:G139" si="18">I101+J101+K101+M101+N101+R101+S101+V101+W101+AD101+O101+X101+Z101+AA101+AB101+AC101+AE101+AF101+P101+U101+AG101+AH101+AI101+AO101+AJ101+AL101+AQ101+AN101+AS101+AV101+AX101+AY101+AZ101+BA101+BC101+BD101+BE101+BF101+BG101+BH101+BI101+AT101+BK101+BL101+BN101+BO101+BP101+BQ101+BM101</f>
        <v>493.44300000000004</v>
      </c>
      <c r="H101" s="166"/>
      <c r="I101" s="160"/>
      <c r="J101" s="160"/>
      <c r="K101" s="160"/>
      <c r="L101" s="166">
        <v>14.40531</v>
      </c>
      <c r="M101" s="165">
        <v>22.57769</v>
      </c>
      <c r="N101" s="165"/>
      <c r="O101" s="165"/>
      <c r="P101" s="160"/>
      <c r="Q101" s="166"/>
      <c r="R101" s="165"/>
      <c r="S101" s="165"/>
      <c r="T101" s="159"/>
      <c r="U101" s="160"/>
      <c r="V101" s="165"/>
      <c r="W101" s="165"/>
      <c r="X101" s="160"/>
      <c r="Y101" s="166"/>
      <c r="Z101" s="160"/>
      <c r="AA101" s="160"/>
      <c r="AB101" s="165"/>
      <c r="AC101" s="165"/>
      <c r="AD101" s="165"/>
      <c r="AE101" s="165"/>
      <c r="AF101" s="160"/>
      <c r="AG101" s="160"/>
      <c r="AH101" s="160"/>
      <c r="AI101" s="160"/>
      <c r="AJ101" s="161"/>
      <c r="AK101" s="162"/>
      <c r="AL101" s="165"/>
      <c r="AM101" s="166"/>
      <c r="AN101" s="165"/>
      <c r="AO101" s="160"/>
      <c r="AP101" s="162"/>
      <c r="AQ101" s="161"/>
      <c r="AR101" s="162"/>
      <c r="AS101" s="161"/>
      <c r="AT101" s="165"/>
      <c r="AU101" s="166"/>
      <c r="AV101" s="165"/>
      <c r="AW101" s="166"/>
      <c r="AX101" s="165"/>
      <c r="AY101" s="165"/>
      <c r="AZ101" s="165"/>
      <c r="BA101" s="165"/>
      <c r="BB101" s="166"/>
      <c r="BC101" s="165"/>
      <c r="BD101" s="165"/>
      <c r="BE101" s="165"/>
      <c r="BF101" s="165">
        <v>470.86531000000002</v>
      </c>
      <c r="BG101" s="165"/>
      <c r="BH101" s="165"/>
      <c r="BI101" s="165"/>
      <c r="BJ101" s="166"/>
      <c r="BK101" s="165"/>
      <c r="BL101" s="165"/>
      <c r="BM101" s="163"/>
      <c r="BN101" s="165"/>
      <c r="BO101" s="165"/>
      <c r="BP101" s="165"/>
      <c r="BQ101" s="167"/>
    </row>
    <row r="102" spans="1:270" ht="39.950000000000003" customHeight="1" outlineLevel="1" x14ac:dyDescent="0.3">
      <c r="A102" s="15" t="s">
        <v>154</v>
      </c>
      <c r="B102" s="14" t="s">
        <v>204</v>
      </c>
      <c r="C102" s="9" t="s">
        <v>28</v>
      </c>
      <c r="D102" s="66" t="s">
        <v>205</v>
      </c>
      <c r="E102" s="158">
        <f t="shared" si="16"/>
        <v>1855.6402499999999</v>
      </c>
      <c r="F102" s="159">
        <f t="shared" si="17"/>
        <v>994.91471000000001</v>
      </c>
      <c r="G102" s="160">
        <f t="shared" si="18"/>
        <v>860.72553999999991</v>
      </c>
      <c r="H102" s="166">
        <v>809.38464999999997</v>
      </c>
      <c r="I102" s="160">
        <v>269.79489000000001</v>
      </c>
      <c r="J102" s="160"/>
      <c r="K102" s="160"/>
      <c r="L102" s="166">
        <f>99.09818+86.43188</f>
        <v>185.53005999999999</v>
      </c>
      <c r="M102" s="165">
        <f>155.31823+135.46612</f>
        <v>290.78435000000002</v>
      </c>
      <c r="N102" s="165"/>
      <c r="O102" s="165"/>
      <c r="P102" s="160"/>
      <c r="Q102" s="166"/>
      <c r="R102" s="165"/>
      <c r="S102" s="165"/>
      <c r="T102" s="159"/>
      <c r="U102" s="160"/>
      <c r="V102" s="165"/>
      <c r="W102" s="165"/>
      <c r="X102" s="160"/>
      <c r="Y102" s="166"/>
      <c r="Z102" s="160"/>
      <c r="AA102" s="160"/>
      <c r="AB102" s="165"/>
      <c r="AC102" s="165"/>
      <c r="AD102" s="165"/>
      <c r="AE102" s="165"/>
      <c r="AF102" s="160"/>
      <c r="AG102" s="160"/>
      <c r="AH102" s="160"/>
      <c r="AI102" s="160"/>
      <c r="AJ102" s="161"/>
      <c r="AK102" s="162"/>
      <c r="AL102" s="165"/>
      <c r="AM102" s="166"/>
      <c r="AN102" s="165"/>
      <c r="AO102" s="160"/>
      <c r="AP102" s="162"/>
      <c r="AQ102" s="161"/>
      <c r="AR102" s="162"/>
      <c r="AS102" s="161"/>
      <c r="AT102" s="165"/>
      <c r="AU102" s="166"/>
      <c r="AV102" s="165"/>
      <c r="AW102" s="166"/>
      <c r="AX102" s="165"/>
      <c r="AY102" s="165"/>
      <c r="AZ102" s="165"/>
      <c r="BA102" s="165"/>
      <c r="BB102" s="166"/>
      <c r="BC102" s="165"/>
      <c r="BD102" s="165"/>
      <c r="BE102" s="165">
        <v>25.479849999999999</v>
      </c>
      <c r="BF102" s="165"/>
      <c r="BG102" s="165">
        <v>274.66645</v>
      </c>
      <c r="BH102" s="165"/>
      <c r="BI102" s="165"/>
      <c r="BJ102" s="166"/>
      <c r="BK102" s="165"/>
      <c r="BL102" s="165"/>
      <c r="BM102" s="163"/>
      <c r="BN102" s="165"/>
      <c r="BO102" s="165"/>
      <c r="BP102" s="165"/>
      <c r="BQ102" s="167"/>
    </row>
    <row r="103" spans="1:270" ht="39.950000000000003" customHeight="1" outlineLevel="1" x14ac:dyDescent="0.3">
      <c r="A103" s="15" t="s">
        <v>154</v>
      </c>
      <c r="B103" s="14" t="s">
        <v>206</v>
      </c>
      <c r="C103" s="9" t="s">
        <v>28</v>
      </c>
      <c r="D103" s="66" t="s">
        <v>207</v>
      </c>
      <c r="E103" s="158">
        <f t="shared" si="16"/>
        <v>184.91500000000002</v>
      </c>
      <c r="F103" s="159">
        <f t="shared" si="17"/>
        <v>72.026570000000007</v>
      </c>
      <c r="G103" s="160">
        <f t="shared" si="18"/>
        <v>112.88843</v>
      </c>
      <c r="H103" s="166"/>
      <c r="I103" s="160"/>
      <c r="J103" s="160"/>
      <c r="K103" s="160"/>
      <c r="L103" s="166">
        <v>72.026570000000007</v>
      </c>
      <c r="M103" s="165">
        <v>112.88843</v>
      </c>
      <c r="N103" s="165"/>
      <c r="O103" s="165"/>
      <c r="P103" s="160"/>
      <c r="Q103" s="166"/>
      <c r="R103" s="165"/>
      <c r="S103" s="165"/>
      <c r="T103" s="159"/>
      <c r="U103" s="160"/>
      <c r="V103" s="165"/>
      <c r="W103" s="165"/>
      <c r="X103" s="160"/>
      <c r="Y103" s="166"/>
      <c r="Z103" s="160"/>
      <c r="AA103" s="160"/>
      <c r="AB103" s="165"/>
      <c r="AC103" s="165"/>
      <c r="AD103" s="165"/>
      <c r="AE103" s="165"/>
      <c r="AF103" s="160"/>
      <c r="AG103" s="160"/>
      <c r="AH103" s="160"/>
      <c r="AI103" s="160"/>
      <c r="AJ103" s="161"/>
      <c r="AK103" s="162"/>
      <c r="AL103" s="165"/>
      <c r="AM103" s="166"/>
      <c r="AN103" s="165"/>
      <c r="AO103" s="160"/>
      <c r="AP103" s="162"/>
      <c r="AQ103" s="161"/>
      <c r="AR103" s="162"/>
      <c r="AS103" s="161"/>
      <c r="AT103" s="165"/>
      <c r="AU103" s="166"/>
      <c r="AV103" s="165"/>
      <c r="AW103" s="166"/>
      <c r="AX103" s="165"/>
      <c r="AY103" s="165"/>
      <c r="AZ103" s="165"/>
      <c r="BA103" s="165"/>
      <c r="BB103" s="166"/>
      <c r="BC103" s="165"/>
      <c r="BD103" s="165"/>
      <c r="BE103" s="165"/>
      <c r="BF103" s="165"/>
      <c r="BG103" s="165"/>
      <c r="BH103" s="165"/>
      <c r="BI103" s="165"/>
      <c r="BJ103" s="166"/>
      <c r="BK103" s="165"/>
      <c r="BL103" s="165"/>
      <c r="BM103" s="163"/>
      <c r="BN103" s="165"/>
      <c r="BO103" s="165"/>
      <c r="BP103" s="165"/>
      <c r="BQ103" s="167"/>
    </row>
    <row r="104" spans="1:270" ht="39.950000000000003" customHeight="1" outlineLevel="1" x14ac:dyDescent="0.3">
      <c r="A104" s="15" t="s">
        <v>154</v>
      </c>
      <c r="B104" s="14" t="s">
        <v>1364</v>
      </c>
      <c r="C104" s="9" t="s">
        <v>30</v>
      </c>
      <c r="D104" s="66" t="s">
        <v>169</v>
      </c>
      <c r="E104" s="158">
        <f t="shared" si="16"/>
        <v>462.28749999999997</v>
      </c>
      <c r="F104" s="159">
        <f t="shared" si="17"/>
        <v>180.06641999999999</v>
      </c>
      <c r="G104" s="160">
        <f t="shared" si="18"/>
        <v>282.22107999999997</v>
      </c>
      <c r="H104" s="166"/>
      <c r="I104" s="160"/>
      <c r="J104" s="160"/>
      <c r="K104" s="160"/>
      <c r="L104" s="166">
        <v>180.06641999999999</v>
      </c>
      <c r="M104" s="165">
        <v>282.22107999999997</v>
      </c>
      <c r="N104" s="165"/>
      <c r="O104" s="165"/>
      <c r="P104" s="160"/>
      <c r="Q104" s="166"/>
      <c r="R104" s="165"/>
      <c r="S104" s="165"/>
      <c r="T104" s="159"/>
      <c r="U104" s="160"/>
      <c r="V104" s="165"/>
      <c r="W104" s="165"/>
      <c r="X104" s="160"/>
      <c r="Y104" s="166"/>
      <c r="Z104" s="160"/>
      <c r="AA104" s="160"/>
      <c r="AB104" s="165"/>
      <c r="AC104" s="165"/>
      <c r="AD104" s="165"/>
      <c r="AE104" s="165"/>
      <c r="AF104" s="160"/>
      <c r="AG104" s="160"/>
      <c r="AH104" s="160"/>
      <c r="AI104" s="160"/>
      <c r="AJ104" s="161"/>
      <c r="AK104" s="162"/>
      <c r="AL104" s="165"/>
      <c r="AM104" s="166"/>
      <c r="AN104" s="165"/>
      <c r="AO104" s="160"/>
      <c r="AP104" s="162"/>
      <c r="AQ104" s="161"/>
      <c r="AR104" s="162"/>
      <c r="AS104" s="161"/>
      <c r="AT104" s="165"/>
      <c r="AU104" s="166"/>
      <c r="AV104" s="165"/>
      <c r="AW104" s="166"/>
      <c r="AX104" s="165"/>
      <c r="AY104" s="165"/>
      <c r="AZ104" s="165"/>
      <c r="BA104" s="165"/>
      <c r="BB104" s="166"/>
      <c r="BC104" s="165"/>
      <c r="BD104" s="165"/>
      <c r="BE104" s="165"/>
      <c r="BF104" s="165"/>
      <c r="BG104" s="165"/>
      <c r="BH104" s="165"/>
      <c r="BI104" s="165"/>
      <c r="BJ104" s="166"/>
      <c r="BK104" s="165"/>
      <c r="BL104" s="165"/>
      <c r="BM104" s="163"/>
      <c r="BN104" s="165"/>
      <c r="BO104" s="165"/>
      <c r="BP104" s="165"/>
      <c r="BQ104" s="167"/>
    </row>
    <row r="105" spans="1:270" ht="39.950000000000003" customHeight="1" outlineLevel="1" x14ac:dyDescent="0.3">
      <c r="A105" s="15" t="s">
        <v>154</v>
      </c>
      <c r="B105" s="14" t="s">
        <v>170</v>
      </c>
      <c r="C105" s="9" t="s">
        <v>30</v>
      </c>
      <c r="D105" s="66" t="s">
        <v>171</v>
      </c>
      <c r="E105" s="158">
        <f t="shared" si="16"/>
        <v>1061.78261</v>
      </c>
      <c r="F105" s="159">
        <f t="shared" si="17"/>
        <v>188.703</v>
      </c>
      <c r="G105" s="160">
        <f t="shared" si="18"/>
        <v>873.07961</v>
      </c>
      <c r="H105" s="166"/>
      <c r="I105" s="165"/>
      <c r="J105" s="165"/>
      <c r="K105" s="165"/>
      <c r="L105" s="166"/>
      <c r="M105" s="165"/>
      <c r="N105" s="165"/>
      <c r="O105" s="165"/>
      <c r="P105" s="160"/>
      <c r="Q105" s="166"/>
      <c r="R105" s="165"/>
      <c r="S105" s="165"/>
      <c r="T105" s="159"/>
      <c r="U105" s="160"/>
      <c r="V105" s="165"/>
      <c r="W105" s="165"/>
      <c r="X105" s="165"/>
      <c r="Y105" s="166">
        <v>188.703</v>
      </c>
      <c r="Z105" s="160">
        <v>62.901000000000003</v>
      </c>
      <c r="AA105" s="165">
        <v>810.17861000000005</v>
      </c>
      <c r="AB105" s="165"/>
      <c r="AC105" s="165"/>
      <c r="AD105" s="165"/>
      <c r="AE105" s="165"/>
      <c r="AF105" s="160"/>
      <c r="AG105" s="160"/>
      <c r="AH105" s="165"/>
      <c r="AI105" s="165"/>
      <c r="AJ105" s="161"/>
      <c r="AK105" s="162"/>
      <c r="AL105" s="165"/>
      <c r="AM105" s="166"/>
      <c r="AN105" s="165"/>
      <c r="AO105" s="165"/>
      <c r="AP105" s="162"/>
      <c r="AQ105" s="161"/>
      <c r="AR105" s="162"/>
      <c r="AS105" s="161"/>
      <c r="AT105" s="165"/>
      <c r="AU105" s="166"/>
      <c r="AV105" s="165"/>
      <c r="AW105" s="166"/>
      <c r="AX105" s="165"/>
      <c r="AY105" s="165"/>
      <c r="AZ105" s="165"/>
      <c r="BA105" s="165"/>
      <c r="BB105" s="166"/>
      <c r="BC105" s="165"/>
      <c r="BD105" s="165"/>
      <c r="BE105" s="165"/>
      <c r="BF105" s="165"/>
      <c r="BG105" s="165"/>
      <c r="BH105" s="165"/>
      <c r="BI105" s="165"/>
      <c r="BJ105" s="166"/>
      <c r="BK105" s="165"/>
      <c r="BL105" s="165"/>
      <c r="BM105" s="163"/>
      <c r="BN105" s="165"/>
      <c r="BO105" s="165"/>
      <c r="BP105" s="165"/>
      <c r="BQ105" s="167"/>
    </row>
    <row r="106" spans="1:270" ht="39.950000000000003" customHeight="1" outlineLevel="1" x14ac:dyDescent="0.3">
      <c r="A106" s="15" t="s">
        <v>154</v>
      </c>
      <c r="B106" s="14" t="s">
        <v>1337</v>
      </c>
      <c r="C106" s="9" t="s">
        <v>30</v>
      </c>
      <c r="D106" s="66" t="s">
        <v>1166</v>
      </c>
      <c r="E106" s="158">
        <f t="shared" si="16"/>
        <v>384.83850000000001</v>
      </c>
      <c r="F106" s="159">
        <f t="shared" si="17"/>
        <v>21.607970000000002</v>
      </c>
      <c r="G106" s="160">
        <f t="shared" si="18"/>
        <v>363.23052999999999</v>
      </c>
      <c r="H106" s="166"/>
      <c r="I106" s="160"/>
      <c r="J106" s="160"/>
      <c r="K106" s="160"/>
      <c r="L106" s="166">
        <v>21.607970000000002</v>
      </c>
      <c r="M106" s="165">
        <v>33.866529999999997</v>
      </c>
      <c r="N106" s="165"/>
      <c r="O106" s="165"/>
      <c r="P106" s="160"/>
      <c r="Q106" s="166"/>
      <c r="R106" s="165"/>
      <c r="S106" s="165"/>
      <c r="T106" s="159"/>
      <c r="U106" s="160"/>
      <c r="V106" s="165"/>
      <c r="W106" s="165"/>
      <c r="X106" s="160"/>
      <c r="Y106" s="166"/>
      <c r="Z106" s="160"/>
      <c r="AA106" s="160"/>
      <c r="AB106" s="165"/>
      <c r="AC106" s="165"/>
      <c r="AD106" s="165"/>
      <c r="AE106" s="165"/>
      <c r="AF106" s="160"/>
      <c r="AG106" s="160"/>
      <c r="AH106" s="160"/>
      <c r="AI106" s="160"/>
      <c r="AJ106" s="161"/>
      <c r="AK106" s="162"/>
      <c r="AL106" s="165"/>
      <c r="AM106" s="166"/>
      <c r="AN106" s="165"/>
      <c r="AO106" s="160"/>
      <c r="AP106" s="162"/>
      <c r="AQ106" s="161"/>
      <c r="AR106" s="162"/>
      <c r="AS106" s="161"/>
      <c r="AT106" s="165"/>
      <c r="AU106" s="166"/>
      <c r="AV106" s="165"/>
      <c r="AW106" s="166"/>
      <c r="AX106" s="165"/>
      <c r="AY106" s="165"/>
      <c r="AZ106" s="165"/>
      <c r="BA106" s="165"/>
      <c r="BB106" s="166"/>
      <c r="BC106" s="165"/>
      <c r="BD106" s="165"/>
      <c r="BE106" s="165"/>
      <c r="BF106" s="165"/>
      <c r="BG106" s="165"/>
      <c r="BH106" s="165"/>
      <c r="BI106" s="165"/>
      <c r="BJ106" s="166"/>
      <c r="BK106" s="165"/>
      <c r="BL106" s="165"/>
      <c r="BM106" s="163"/>
      <c r="BN106" s="165"/>
      <c r="BO106" s="165">
        <v>329.36399999999998</v>
      </c>
      <c r="BP106" s="165"/>
      <c r="BQ106" s="167"/>
    </row>
    <row r="107" spans="1:270" ht="39.950000000000003" customHeight="1" outlineLevel="1" x14ac:dyDescent="0.3">
      <c r="A107" s="15" t="s">
        <v>154</v>
      </c>
      <c r="B107" s="14" t="s">
        <v>172</v>
      </c>
      <c r="C107" s="9" t="s">
        <v>30</v>
      </c>
      <c r="D107" s="66" t="s">
        <v>173</v>
      </c>
      <c r="E107" s="158">
        <f t="shared" si="16"/>
        <v>499.2</v>
      </c>
      <c r="F107" s="159">
        <f t="shared" si="17"/>
        <v>0</v>
      </c>
      <c r="G107" s="160">
        <f t="shared" si="18"/>
        <v>499.2</v>
      </c>
      <c r="H107" s="166"/>
      <c r="I107" s="160"/>
      <c r="J107" s="160"/>
      <c r="K107" s="160"/>
      <c r="L107" s="166"/>
      <c r="M107" s="165"/>
      <c r="N107" s="165"/>
      <c r="O107" s="165"/>
      <c r="P107" s="160"/>
      <c r="Q107" s="166"/>
      <c r="R107" s="165"/>
      <c r="S107" s="165"/>
      <c r="T107" s="159"/>
      <c r="U107" s="160"/>
      <c r="V107" s="165"/>
      <c r="W107" s="165">
        <v>499.2</v>
      </c>
      <c r="X107" s="160"/>
      <c r="Y107" s="166"/>
      <c r="Z107" s="160"/>
      <c r="AA107" s="160"/>
      <c r="AB107" s="165"/>
      <c r="AC107" s="165"/>
      <c r="AD107" s="165"/>
      <c r="AE107" s="165"/>
      <c r="AF107" s="160"/>
      <c r="AG107" s="160"/>
      <c r="AH107" s="160"/>
      <c r="AI107" s="160"/>
      <c r="AJ107" s="161"/>
      <c r="AK107" s="162"/>
      <c r="AL107" s="165"/>
      <c r="AM107" s="166"/>
      <c r="AN107" s="165"/>
      <c r="AO107" s="160"/>
      <c r="AP107" s="162"/>
      <c r="AQ107" s="161"/>
      <c r="AR107" s="162"/>
      <c r="AS107" s="161"/>
      <c r="AT107" s="165"/>
      <c r="AU107" s="166"/>
      <c r="AV107" s="165"/>
      <c r="AW107" s="166"/>
      <c r="AX107" s="165"/>
      <c r="AY107" s="165"/>
      <c r="AZ107" s="165"/>
      <c r="BA107" s="165"/>
      <c r="BB107" s="166"/>
      <c r="BC107" s="165"/>
      <c r="BD107" s="165"/>
      <c r="BE107" s="165"/>
      <c r="BF107" s="165"/>
      <c r="BG107" s="165"/>
      <c r="BH107" s="165"/>
      <c r="BI107" s="165"/>
      <c r="BJ107" s="166"/>
      <c r="BK107" s="165"/>
      <c r="BL107" s="165"/>
      <c r="BM107" s="163"/>
      <c r="BN107" s="165"/>
      <c r="BO107" s="165"/>
      <c r="BP107" s="165"/>
      <c r="BQ107" s="167"/>
    </row>
    <row r="108" spans="1:270" ht="39.950000000000003" customHeight="1" outlineLevel="1" x14ac:dyDescent="0.3">
      <c r="A108" s="15" t="s">
        <v>154</v>
      </c>
      <c r="B108" s="14" t="s">
        <v>174</v>
      </c>
      <c r="C108" s="9" t="s">
        <v>30</v>
      </c>
      <c r="D108" s="66" t="s">
        <v>175</v>
      </c>
      <c r="E108" s="158">
        <f t="shared" si="16"/>
        <v>148.67823999999999</v>
      </c>
      <c r="F108" s="159">
        <f t="shared" si="17"/>
        <v>28.81063</v>
      </c>
      <c r="G108" s="160">
        <f t="shared" si="18"/>
        <v>119.86760999999998</v>
      </c>
      <c r="H108" s="166"/>
      <c r="I108" s="160"/>
      <c r="J108" s="160"/>
      <c r="K108" s="160"/>
      <c r="L108" s="166">
        <v>28.81063</v>
      </c>
      <c r="M108" s="165">
        <v>45.155369999999998</v>
      </c>
      <c r="N108" s="165"/>
      <c r="O108" s="165"/>
      <c r="P108" s="160"/>
      <c r="Q108" s="166"/>
      <c r="R108" s="165"/>
      <c r="S108" s="165"/>
      <c r="T108" s="159"/>
      <c r="U108" s="160"/>
      <c r="V108" s="165"/>
      <c r="W108" s="165"/>
      <c r="X108" s="160"/>
      <c r="Y108" s="166"/>
      <c r="Z108" s="160"/>
      <c r="AA108" s="160"/>
      <c r="AB108" s="165"/>
      <c r="AC108" s="165"/>
      <c r="AD108" s="165"/>
      <c r="AE108" s="165"/>
      <c r="AF108" s="160"/>
      <c r="AG108" s="160"/>
      <c r="AH108" s="160"/>
      <c r="AI108" s="160"/>
      <c r="AJ108" s="161"/>
      <c r="AK108" s="162"/>
      <c r="AL108" s="165"/>
      <c r="AM108" s="166"/>
      <c r="AN108" s="165"/>
      <c r="AO108" s="160"/>
      <c r="AP108" s="162"/>
      <c r="AQ108" s="161"/>
      <c r="AR108" s="162"/>
      <c r="AS108" s="161"/>
      <c r="AT108" s="165"/>
      <c r="AU108" s="166"/>
      <c r="AV108" s="165"/>
      <c r="AW108" s="166"/>
      <c r="AX108" s="165"/>
      <c r="AY108" s="165"/>
      <c r="AZ108" s="165"/>
      <c r="BA108" s="165"/>
      <c r="BB108" s="166"/>
      <c r="BC108" s="165"/>
      <c r="BD108" s="165"/>
      <c r="BE108" s="165">
        <v>74.712239999999994</v>
      </c>
      <c r="BF108" s="165"/>
      <c r="BG108" s="165"/>
      <c r="BH108" s="165"/>
      <c r="BI108" s="165"/>
      <c r="BJ108" s="166"/>
      <c r="BK108" s="165"/>
      <c r="BL108" s="165"/>
      <c r="BM108" s="163"/>
      <c r="BN108" s="165"/>
      <c r="BO108" s="165"/>
      <c r="BP108" s="165"/>
      <c r="BQ108" s="167"/>
    </row>
    <row r="109" spans="1:270" ht="39.950000000000003" customHeight="1" outlineLevel="1" x14ac:dyDescent="0.3">
      <c r="A109" s="15" t="s">
        <v>154</v>
      </c>
      <c r="B109" s="14" t="s">
        <v>176</v>
      </c>
      <c r="C109" s="9" t="s">
        <v>30</v>
      </c>
      <c r="D109" s="66" t="s">
        <v>177</v>
      </c>
      <c r="E109" s="158">
        <f t="shared" si="16"/>
        <v>197.44335000000001</v>
      </c>
      <c r="F109" s="159">
        <f t="shared" si="17"/>
        <v>7.2026599999999998</v>
      </c>
      <c r="G109" s="160">
        <f t="shared" si="18"/>
        <v>190.24069</v>
      </c>
      <c r="H109" s="166"/>
      <c r="I109" s="160"/>
      <c r="J109" s="160"/>
      <c r="K109" s="160"/>
      <c r="L109" s="166">
        <v>7.2026599999999998</v>
      </c>
      <c r="M109" s="165">
        <v>11.28884</v>
      </c>
      <c r="N109" s="165"/>
      <c r="O109" s="165"/>
      <c r="P109" s="160"/>
      <c r="Q109" s="166"/>
      <c r="R109" s="165"/>
      <c r="S109" s="165"/>
      <c r="T109" s="159"/>
      <c r="U109" s="160"/>
      <c r="V109" s="165"/>
      <c r="W109" s="165"/>
      <c r="X109" s="160"/>
      <c r="Y109" s="166"/>
      <c r="Z109" s="160"/>
      <c r="AA109" s="160"/>
      <c r="AB109" s="165"/>
      <c r="AC109" s="165"/>
      <c r="AD109" s="165"/>
      <c r="AE109" s="165"/>
      <c r="AF109" s="160"/>
      <c r="AG109" s="160"/>
      <c r="AH109" s="160"/>
      <c r="AI109" s="160"/>
      <c r="AJ109" s="161"/>
      <c r="AK109" s="162"/>
      <c r="AL109" s="165"/>
      <c r="AM109" s="166"/>
      <c r="AN109" s="165"/>
      <c r="AO109" s="160"/>
      <c r="AP109" s="162"/>
      <c r="AQ109" s="161"/>
      <c r="AR109" s="162"/>
      <c r="AS109" s="161"/>
      <c r="AT109" s="165"/>
      <c r="AU109" s="166"/>
      <c r="AV109" s="165"/>
      <c r="AW109" s="166"/>
      <c r="AX109" s="165"/>
      <c r="AY109" s="165"/>
      <c r="AZ109" s="165"/>
      <c r="BA109" s="165"/>
      <c r="BB109" s="166"/>
      <c r="BC109" s="165"/>
      <c r="BD109" s="165"/>
      <c r="BE109" s="165">
        <v>178.95185000000001</v>
      </c>
      <c r="BF109" s="165"/>
      <c r="BG109" s="165"/>
      <c r="BH109" s="165"/>
      <c r="BI109" s="165"/>
      <c r="BJ109" s="166"/>
      <c r="BK109" s="165"/>
      <c r="BL109" s="165"/>
      <c r="BM109" s="163"/>
      <c r="BN109" s="165"/>
      <c r="BO109" s="165"/>
      <c r="BP109" s="165"/>
      <c r="BQ109" s="167"/>
    </row>
    <row r="110" spans="1:270" ht="39.950000000000003" customHeight="1" outlineLevel="1" x14ac:dyDescent="0.3">
      <c r="A110" s="15" t="s">
        <v>154</v>
      </c>
      <c r="B110" s="14" t="s">
        <v>180</v>
      </c>
      <c r="C110" s="9" t="s">
        <v>30</v>
      </c>
      <c r="D110" s="66" t="s">
        <v>181</v>
      </c>
      <c r="E110" s="158">
        <f t="shared" si="16"/>
        <v>692.43133</v>
      </c>
      <c r="F110" s="159">
        <f t="shared" si="17"/>
        <v>204.53108</v>
      </c>
      <c r="G110" s="160">
        <f t="shared" si="18"/>
        <v>487.90024999999997</v>
      </c>
      <c r="H110" s="166">
        <v>111.87488</v>
      </c>
      <c r="I110" s="160">
        <v>37.291620000000002</v>
      </c>
      <c r="J110" s="160"/>
      <c r="K110" s="160"/>
      <c r="L110" s="166">
        <v>15.113099999999999</v>
      </c>
      <c r="M110" s="165">
        <v>23.687010000000001</v>
      </c>
      <c r="N110" s="165"/>
      <c r="O110" s="165"/>
      <c r="P110" s="160"/>
      <c r="Q110" s="166"/>
      <c r="R110" s="165"/>
      <c r="S110" s="165"/>
      <c r="T110" s="159"/>
      <c r="U110" s="160"/>
      <c r="V110" s="165"/>
      <c r="W110" s="165"/>
      <c r="X110" s="160"/>
      <c r="Y110" s="166">
        <v>77.543099999999995</v>
      </c>
      <c r="Z110" s="160">
        <v>25.8477</v>
      </c>
      <c r="AA110" s="160">
        <v>401.07391999999999</v>
      </c>
      <c r="AB110" s="165"/>
      <c r="AC110" s="165"/>
      <c r="AD110" s="165"/>
      <c r="AE110" s="165"/>
      <c r="AF110" s="160"/>
      <c r="AG110" s="160"/>
      <c r="AH110" s="160"/>
      <c r="AI110" s="160"/>
      <c r="AJ110" s="161"/>
      <c r="AK110" s="162"/>
      <c r="AL110" s="165"/>
      <c r="AM110" s="166"/>
      <c r="AN110" s="165"/>
      <c r="AO110" s="160"/>
      <c r="AP110" s="162"/>
      <c r="AQ110" s="161"/>
      <c r="AR110" s="162"/>
      <c r="AS110" s="161"/>
      <c r="AT110" s="165"/>
      <c r="AU110" s="166"/>
      <c r="AV110" s="165"/>
      <c r="AW110" s="166"/>
      <c r="AX110" s="165"/>
      <c r="AY110" s="165"/>
      <c r="AZ110" s="165"/>
      <c r="BA110" s="165"/>
      <c r="BB110" s="166"/>
      <c r="BC110" s="165"/>
      <c r="BD110" s="165"/>
      <c r="BE110" s="165"/>
      <c r="BF110" s="165"/>
      <c r="BG110" s="165"/>
      <c r="BH110" s="165"/>
      <c r="BI110" s="165"/>
      <c r="BJ110" s="166"/>
      <c r="BK110" s="165"/>
      <c r="BL110" s="165"/>
      <c r="BM110" s="163"/>
      <c r="BN110" s="165"/>
      <c r="BO110" s="165"/>
      <c r="BP110" s="165"/>
      <c r="BQ110" s="167"/>
    </row>
    <row r="111" spans="1:270" ht="39.950000000000003" customHeight="1" outlineLevel="1" x14ac:dyDescent="0.3">
      <c r="A111" s="15" t="s">
        <v>154</v>
      </c>
      <c r="B111" s="14" t="s">
        <v>182</v>
      </c>
      <c r="C111" s="9" t="s">
        <v>30</v>
      </c>
      <c r="D111" s="66">
        <v>246523785965</v>
      </c>
      <c r="E111" s="158">
        <f t="shared" si="16"/>
        <v>1652.84899</v>
      </c>
      <c r="F111" s="159">
        <f t="shared" si="17"/>
        <v>144.05313000000001</v>
      </c>
      <c r="G111" s="160">
        <f t="shared" si="18"/>
        <v>1508.7958599999999</v>
      </c>
      <c r="H111" s="166"/>
      <c r="I111" s="160"/>
      <c r="J111" s="160">
        <v>21.45</v>
      </c>
      <c r="K111" s="160"/>
      <c r="L111" s="166">
        <v>144.05313000000001</v>
      </c>
      <c r="M111" s="165">
        <v>225.77687</v>
      </c>
      <c r="N111" s="165"/>
      <c r="O111" s="165"/>
      <c r="P111" s="160"/>
      <c r="Q111" s="166"/>
      <c r="R111" s="165"/>
      <c r="S111" s="165"/>
      <c r="T111" s="159"/>
      <c r="U111" s="160"/>
      <c r="V111" s="165"/>
      <c r="W111" s="165"/>
      <c r="X111" s="160"/>
      <c r="Y111" s="166"/>
      <c r="Z111" s="160"/>
      <c r="AA111" s="160"/>
      <c r="AB111" s="165"/>
      <c r="AC111" s="165"/>
      <c r="AD111" s="165"/>
      <c r="AE111" s="165"/>
      <c r="AF111" s="160"/>
      <c r="AG111" s="160"/>
      <c r="AH111" s="160"/>
      <c r="AI111" s="160"/>
      <c r="AJ111" s="161"/>
      <c r="AK111" s="162"/>
      <c r="AL111" s="165"/>
      <c r="AM111" s="166"/>
      <c r="AN111" s="165"/>
      <c r="AO111" s="160"/>
      <c r="AP111" s="162"/>
      <c r="AQ111" s="161"/>
      <c r="AR111" s="162"/>
      <c r="AS111" s="161"/>
      <c r="AT111" s="165"/>
      <c r="AU111" s="166"/>
      <c r="AV111" s="165"/>
      <c r="AW111" s="166"/>
      <c r="AX111" s="165"/>
      <c r="AY111" s="165"/>
      <c r="AZ111" s="165"/>
      <c r="BA111" s="165"/>
      <c r="BB111" s="166"/>
      <c r="BC111" s="165"/>
      <c r="BD111" s="165"/>
      <c r="BE111" s="165"/>
      <c r="BF111" s="165"/>
      <c r="BG111" s="165"/>
      <c r="BH111" s="165"/>
      <c r="BI111" s="165"/>
      <c r="BJ111" s="166"/>
      <c r="BK111" s="165"/>
      <c r="BL111" s="165">
        <v>875</v>
      </c>
      <c r="BM111" s="163"/>
      <c r="BN111" s="165"/>
      <c r="BO111" s="165">
        <v>386.56898999999999</v>
      </c>
      <c r="BP111" s="165"/>
      <c r="BQ111" s="167"/>
    </row>
    <row r="112" spans="1:270" ht="39.950000000000003" customHeight="1" outlineLevel="1" x14ac:dyDescent="0.3">
      <c r="A112" s="15" t="s">
        <v>154</v>
      </c>
      <c r="B112" s="14" t="s">
        <v>185</v>
      </c>
      <c r="C112" s="9" t="s">
        <v>30</v>
      </c>
      <c r="D112" s="66" t="s">
        <v>186</v>
      </c>
      <c r="E112" s="158">
        <f t="shared" si="16"/>
        <v>761.65322999999989</v>
      </c>
      <c r="F112" s="159">
        <f t="shared" si="17"/>
        <v>167.1533</v>
      </c>
      <c r="G112" s="160">
        <f t="shared" si="18"/>
        <v>594.49992999999995</v>
      </c>
      <c r="H112" s="166"/>
      <c r="I112" s="160"/>
      <c r="J112" s="160"/>
      <c r="K112" s="160"/>
      <c r="L112" s="166">
        <f>27.54912+36.01328</f>
        <v>63.562399999999997</v>
      </c>
      <c r="M112" s="165">
        <f>43.17819+56.44422</f>
        <v>99.622410000000002</v>
      </c>
      <c r="N112" s="165"/>
      <c r="O112" s="165"/>
      <c r="P112" s="160"/>
      <c r="Q112" s="166"/>
      <c r="R112" s="165"/>
      <c r="S112" s="165"/>
      <c r="T112" s="159"/>
      <c r="U112" s="160"/>
      <c r="V112" s="165"/>
      <c r="W112" s="165"/>
      <c r="X112" s="160"/>
      <c r="Y112" s="166">
        <v>103.5909</v>
      </c>
      <c r="Z112" s="160">
        <v>34.530299999999997</v>
      </c>
      <c r="AA112" s="160">
        <v>460.34721999999999</v>
      </c>
      <c r="AB112" s="165"/>
      <c r="AC112" s="165"/>
      <c r="AD112" s="165"/>
      <c r="AE112" s="165"/>
      <c r="AF112" s="160"/>
      <c r="AG112" s="160"/>
      <c r="AH112" s="160"/>
      <c r="AI112" s="160"/>
      <c r="AJ112" s="161"/>
      <c r="AK112" s="162"/>
      <c r="AL112" s="165"/>
      <c r="AM112" s="166"/>
      <c r="AN112" s="165"/>
      <c r="AO112" s="160"/>
      <c r="AP112" s="162"/>
      <c r="AQ112" s="161"/>
      <c r="AR112" s="162"/>
      <c r="AS112" s="161"/>
      <c r="AT112" s="165"/>
      <c r="AU112" s="166"/>
      <c r="AV112" s="165"/>
      <c r="AW112" s="166"/>
      <c r="AX112" s="165"/>
      <c r="AY112" s="165"/>
      <c r="AZ112" s="165"/>
      <c r="BA112" s="165"/>
      <c r="BB112" s="166"/>
      <c r="BC112" s="165"/>
      <c r="BD112" s="165"/>
      <c r="BE112" s="165"/>
      <c r="BF112" s="165"/>
      <c r="BG112" s="165"/>
      <c r="BH112" s="165"/>
      <c r="BI112" s="165"/>
      <c r="BJ112" s="166"/>
      <c r="BK112" s="165"/>
      <c r="BL112" s="165"/>
      <c r="BM112" s="163"/>
      <c r="BN112" s="165"/>
      <c r="BO112" s="165"/>
      <c r="BP112" s="165"/>
      <c r="BQ112" s="167"/>
    </row>
    <row r="113" spans="1:69" ht="39.950000000000003" customHeight="1" outlineLevel="1" x14ac:dyDescent="0.3">
      <c r="A113" s="15" t="s">
        <v>154</v>
      </c>
      <c r="B113" s="14" t="s">
        <v>187</v>
      </c>
      <c r="C113" s="9" t="s">
        <v>30</v>
      </c>
      <c r="D113" s="66" t="s">
        <v>188</v>
      </c>
      <c r="E113" s="158">
        <f t="shared" si="16"/>
        <v>115.91853999999999</v>
      </c>
      <c r="F113" s="159">
        <f t="shared" si="17"/>
        <v>45.151629999999997</v>
      </c>
      <c r="G113" s="160">
        <f t="shared" si="18"/>
        <v>70.766909999999996</v>
      </c>
      <c r="H113" s="166"/>
      <c r="I113" s="160"/>
      <c r="J113" s="160"/>
      <c r="K113" s="160"/>
      <c r="L113" s="166">
        <v>45.151629999999997</v>
      </c>
      <c r="M113" s="165">
        <v>70.766909999999996</v>
      </c>
      <c r="N113" s="165"/>
      <c r="O113" s="165"/>
      <c r="P113" s="160"/>
      <c r="Q113" s="166"/>
      <c r="R113" s="165"/>
      <c r="S113" s="165"/>
      <c r="T113" s="159"/>
      <c r="U113" s="160"/>
      <c r="V113" s="165"/>
      <c r="W113" s="165"/>
      <c r="X113" s="160"/>
      <c r="Y113" s="166"/>
      <c r="Z113" s="160"/>
      <c r="AA113" s="160"/>
      <c r="AB113" s="165"/>
      <c r="AC113" s="165"/>
      <c r="AD113" s="165"/>
      <c r="AE113" s="165"/>
      <c r="AF113" s="160"/>
      <c r="AG113" s="160"/>
      <c r="AH113" s="160"/>
      <c r="AI113" s="160"/>
      <c r="AJ113" s="161"/>
      <c r="AK113" s="162"/>
      <c r="AL113" s="165"/>
      <c r="AM113" s="166"/>
      <c r="AN113" s="165"/>
      <c r="AO113" s="160"/>
      <c r="AP113" s="162"/>
      <c r="AQ113" s="161"/>
      <c r="AR113" s="162"/>
      <c r="AS113" s="161"/>
      <c r="AT113" s="165"/>
      <c r="AU113" s="166"/>
      <c r="AV113" s="165"/>
      <c r="AW113" s="166"/>
      <c r="AX113" s="165"/>
      <c r="AY113" s="165"/>
      <c r="AZ113" s="165"/>
      <c r="BA113" s="165"/>
      <c r="BB113" s="166"/>
      <c r="BC113" s="165"/>
      <c r="BD113" s="165"/>
      <c r="BE113" s="165"/>
      <c r="BF113" s="165"/>
      <c r="BG113" s="165"/>
      <c r="BH113" s="165"/>
      <c r="BI113" s="165"/>
      <c r="BJ113" s="166"/>
      <c r="BK113" s="165"/>
      <c r="BL113" s="165"/>
      <c r="BM113" s="163"/>
      <c r="BN113" s="165"/>
      <c r="BO113" s="165"/>
      <c r="BP113" s="165"/>
      <c r="BQ113" s="167"/>
    </row>
    <row r="114" spans="1:69" ht="39.950000000000003" customHeight="1" outlineLevel="1" x14ac:dyDescent="0.3">
      <c r="A114" s="15" t="s">
        <v>1271</v>
      </c>
      <c r="B114" s="14" t="s">
        <v>202</v>
      </c>
      <c r="C114" s="9" t="s">
        <v>30</v>
      </c>
      <c r="D114" s="66" t="s">
        <v>1168</v>
      </c>
      <c r="E114" s="158">
        <f t="shared" si="16"/>
        <v>46.228750000000005</v>
      </c>
      <c r="F114" s="159">
        <f t="shared" si="17"/>
        <v>18.006640000000001</v>
      </c>
      <c r="G114" s="160">
        <f t="shared" si="18"/>
        <v>28.222110000000001</v>
      </c>
      <c r="H114" s="166"/>
      <c r="I114" s="160"/>
      <c r="J114" s="160"/>
      <c r="K114" s="160"/>
      <c r="L114" s="166">
        <v>18.006640000000001</v>
      </c>
      <c r="M114" s="165">
        <v>28.222110000000001</v>
      </c>
      <c r="N114" s="165"/>
      <c r="O114" s="165"/>
      <c r="P114" s="160"/>
      <c r="Q114" s="166"/>
      <c r="R114" s="165"/>
      <c r="S114" s="165"/>
      <c r="T114" s="159"/>
      <c r="U114" s="160"/>
      <c r="V114" s="165"/>
      <c r="W114" s="165"/>
      <c r="X114" s="160"/>
      <c r="Y114" s="166"/>
      <c r="Z114" s="160"/>
      <c r="AA114" s="160"/>
      <c r="AB114" s="165"/>
      <c r="AC114" s="165"/>
      <c r="AD114" s="165"/>
      <c r="AE114" s="165"/>
      <c r="AF114" s="160"/>
      <c r="AG114" s="160"/>
      <c r="AH114" s="160"/>
      <c r="AI114" s="160"/>
      <c r="AJ114" s="161"/>
      <c r="AK114" s="162"/>
      <c r="AL114" s="165"/>
      <c r="AM114" s="166"/>
      <c r="AN114" s="165"/>
      <c r="AO114" s="160"/>
      <c r="AP114" s="162"/>
      <c r="AQ114" s="161"/>
      <c r="AR114" s="162"/>
      <c r="AS114" s="161"/>
      <c r="AT114" s="165"/>
      <c r="AU114" s="166"/>
      <c r="AV114" s="165"/>
      <c r="AW114" s="166"/>
      <c r="AX114" s="165"/>
      <c r="AY114" s="165"/>
      <c r="AZ114" s="165"/>
      <c r="BA114" s="165"/>
      <c r="BB114" s="166"/>
      <c r="BC114" s="165"/>
      <c r="BD114" s="165"/>
      <c r="BE114" s="165"/>
      <c r="BF114" s="165"/>
      <c r="BG114" s="165"/>
      <c r="BH114" s="165"/>
      <c r="BI114" s="165"/>
      <c r="BJ114" s="166"/>
      <c r="BK114" s="165"/>
      <c r="BL114" s="165"/>
      <c r="BM114" s="163"/>
      <c r="BN114" s="165"/>
      <c r="BO114" s="165"/>
      <c r="BP114" s="165"/>
      <c r="BQ114" s="167"/>
    </row>
    <row r="115" spans="1:69" ht="39.950000000000003" customHeight="1" outlineLevel="1" x14ac:dyDescent="0.3">
      <c r="A115" s="19" t="s">
        <v>1270</v>
      </c>
      <c r="B115" s="14" t="s">
        <v>189</v>
      </c>
      <c r="C115" s="9" t="s">
        <v>30</v>
      </c>
      <c r="D115" s="66" t="s">
        <v>1167</v>
      </c>
      <c r="E115" s="158">
        <f t="shared" si="16"/>
        <v>339.14789999999999</v>
      </c>
      <c r="F115" s="159">
        <f t="shared" si="17"/>
        <v>0</v>
      </c>
      <c r="G115" s="160">
        <f t="shared" si="18"/>
        <v>339.14789999999999</v>
      </c>
      <c r="H115" s="166"/>
      <c r="I115" s="160"/>
      <c r="J115" s="160"/>
      <c r="K115" s="160"/>
      <c r="L115" s="166"/>
      <c r="M115" s="165"/>
      <c r="N115" s="165"/>
      <c r="O115" s="165"/>
      <c r="P115" s="160"/>
      <c r="Q115" s="166"/>
      <c r="R115" s="165"/>
      <c r="S115" s="165"/>
      <c r="T115" s="159"/>
      <c r="U115" s="160"/>
      <c r="V115" s="165"/>
      <c r="W115" s="165"/>
      <c r="X115" s="160"/>
      <c r="Y115" s="166"/>
      <c r="Z115" s="160"/>
      <c r="AA115" s="160"/>
      <c r="AB115" s="165"/>
      <c r="AC115" s="165"/>
      <c r="AD115" s="165"/>
      <c r="AE115" s="165"/>
      <c r="AF115" s="160"/>
      <c r="AG115" s="160"/>
      <c r="AH115" s="160"/>
      <c r="AI115" s="160"/>
      <c r="AJ115" s="161"/>
      <c r="AK115" s="162"/>
      <c r="AL115" s="165"/>
      <c r="AM115" s="166"/>
      <c r="AN115" s="165"/>
      <c r="AO115" s="160"/>
      <c r="AP115" s="162"/>
      <c r="AQ115" s="161"/>
      <c r="AR115" s="162"/>
      <c r="AS115" s="161"/>
      <c r="AT115" s="165"/>
      <c r="AU115" s="166"/>
      <c r="AV115" s="165"/>
      <c r="AW115" s="166"/>
      <c r="AX115" s="165"/>
      <c r="AY115" s="165"/>
      <c r="AZ115" s="165"/>
      <c r="BA115" s="165"/>
      <c r="BB115" s="166"/>
      <c r="BC115" s="165"/>
      <c r="BD115" s="165"/>
      <c r="BE115" s="165"/>
      <c r="BF115" s="165"/>
      <c r="BG115" s="165"/>
      <c r="BH115" s="165"/>
      <c r="BI115" s="165"/>
      <c r="BJ115" s="166"/>
      <c r="BK115" s="165"/>
      <c r="BL115" s="165"/>
      <c r="BM115" s="163"/>
      <c r="BN115" s="165"/>
      <c r="BO115" s="165">
        <v>339.14789999999999</v>
      </c>
      <c r="BP115" s="165"/>
      <c r="BQ115" s="167"/>
    </row>
    <row r="116" spans="1:69" ht="39.950000000000003" customHeight="1" outlineLevel="1" x14ac:dyDescent="0.3">
      <c r="A116" s="19" t="s">
        <v>154</v>
      </c>
      <c r="B116" s="14" t="s">
        <v>1433</v>
      </c>
      <c r="C116" s="9" t="s">
        <v>30</v>
      </c>
      <c r="D116" s="66">
        <v>246521919821</v>
      </c>
      <c r="E116" s="158">
        <f t="shared" si="16"/>
        <v>473.18040000000002</v>
      </c>
      <c r="F116" s="159">
        <f t="shared" si="17"/>
        <v>0</v>
      </c>
      <c r="G116" s="160">
        <f t="shared" si="18"/>
        <v>473.18040000000002</v>
      </c>
      <c r="H116" s="166"/>
      <c r="I116" s="160"/>
      <c r="J116" s="160"/>
      <c r="K116" s="160"/>
      <c r="L116" s="166"/>
      <c r="M116" s="165"/>
      <c r="N116" s="165"/>
      <c r="O116" s="165"/>
      <c r="P116" s="160"/>
      <c r="Q116" s="166"/>
      <c r="R116" s="165"/>
      <c r="S116" s="165"/>
      <c r="T116" s="159"/>
      <c r="U116" s="160"/>
      <c r="V116" s="165"/>
      <c r="W116" s="165"/>
      <c r="X116" s="160"/>
      <c r="Y116" s="166"/>
      <c r="Z116" s="160"/>
      <c r="AA116" s="160"/>
      <c r="AB116" s="165"/>
      <c r="AC116" s="165"/>
      <c r="AD116" s="165"/>
      <c r="AE116" s="165"/>
      <c r="AF116" s="160"/>
      <c r="AG116" s="160"/>
      <c r="AH116" s="160"/>
      <c r="AI116" s="160"/>
      <c r="AJ116" s="161"/>
      <c r="AK116" s="162"/>
      <c r="AL116" s="165"/>
      <c r="AM116" s="166"/>
      <c r="AN116" s="165"/>
      <c r="AO116" s="160"/>
      <c r="AP116" s="162"/>
      <c r="AQ116" s="161"/>
      <c r="AR116" s="162"/>
      <c r="AS116" s="161"/>
      <c r="AT116" s="165"/>
      <c r="AU116" s="166"/>
      <c r="AV116" s="165"/>
      <c r="AW116" s="166"/>
      <c r="AX116" s="165"/>
      <c r="AY116" s="165"/>
      <c r="AZ116" s="165"/>
      <c r="BA116" s="165"/>
      <c r="BB116" s="166"/>
      <c r="BC116" s="165"/>
      <c r="BD116" s="165"/>
      <c r="BE116" s="165"/>
      <c r="BF116" s="165">
        <v>473.18040000000002</v>
      </c>
      <c r="BG116" s="165"/>
      <c r="BH116" s="165"/>
      <c r="BI116" s="165"/>
      <c r="BJ116" s="166"/>
      <c r="BK116" s="165"/>
      <c r="BL116" s="165"/>
      <c r="BM116" s="163"/>
      <c r="BN116" s="165"/>
      <c r="BO116" s="165"/>
      <c r="BP116" s="165"/>
      <c r="BQ116" s="167"/>
    </row>
    <row r="117" spans="1:69" ht="39.950000000000003" customHeight="1" outlineLevel="1" x14ac:dyDescent="0.3">
      <c r="A117" s="15" t="s">
        <v>154</v>
      </c>
      <c r="B117" s="14" t="s">
        <v>190</v>
      </c>
      <c r="C117" s="9" t="s">
        <v>30</v>
      </c>
      <c r="D117" s="66" t="s">
        <v>191</v>
      </c>
      <c r="E117" s="158">
        <f t="shared" si="16"/>
        <v>249.63525000000001</v>
      </c>
      <c r="F117" s="159">
        <f t="shared" si="17"/>
        <v>97.235870000000006</v>
      </c>
      <c r="G117" s="160">
        <f t="shared" si="18"/>
        <v>152.39938000000001</v>
      </c>
      <c r="H117" s="166"/>
      <c r="I117" s="160"/>
      <c r="J117" s="160"/>
      <c r="K117" s="160"/>
      <c r="L117" s="166">
        <v>97.235870000000006</v>
      </c>
      <c r="M117" s="165">
        <v>152.39938000000001</v>
      </c>
      <c r="N117" s="165"/>
      <c r="O117" s="165"/>
      <c r="P117" s="160"/>
      <c r="Q117" s="166"/>
      <c r="R117" s="165"/>
      <c r="S117" s="165"/>
      <c r="T117" s="159"/>
      <c r="U117" s="160"/>
      <c r="V117" s="165"/>
      <c r="W117" s="165"/>
      <c r="X117" s="160"/>
      <c r="Y117" s="166"/>
      <c r="Z117" s="160"/>
      <c r="AA117" s="160"/>
      <c r="AB117" s="165"/>
      <c r="AC117" s="165"/>
      <c r="AD117" s="165"/>
      <c r="AE117" s="165"/>
      <c r="AF117" s="160"/>
      <c r="AG117" s="160"/>
      <c r="AH117" s="160"/>
      <c r="AI117" s="160"/>
      <c r="AJ117" s="161"/>
      <c r="AK117" s="162"/>
      <c r="AL117" s="165"/>
      <c r="AM117" s="166"/>
      <c r="AN117" s="165"/>
      <c r="AO117" s="160"/>
      <c r="AP117" s="162"/>
      <c r="AQ117" s="161"/>
      <c r="AR117" s="162"/>
      <c r="AS117" s="161"/>
      <c r="AT117" s="165"/>
      <c r="AU117" s="166"/>
      <c r="AV117" s="165"/>
      <c r="AW117" s="166"/>
      <c r="AX117" s="165"/>
      <c r="AY117" s="165"/>
      <c r="AZ117" s="165"/>
      <c r="BA117" s="165"/>
      <c r="BB117" s="166"/>
      <c r="BC117" s="165"/>
      <c r="BD117" s="165"/>
      <c r="BE117" s="165"/>
      <c r="BF117" s="165"/>
      <c r="BG117" s="165"/>
      <c r="BH117" s="165"/>
      <c r="BI117" s="165"/>
      <c r="BJ117" s="166"/>
      <c r="BK117" s="165"/>
      <c r="BL117" s="165"/>
      <c r="BM117" s="163"/>
      <c r="BN117" s="165"/>
      <c r="BO117" s="165"/>
      <c r="BP117" s="165"/>
      <c r="BQ117" s="167"/>
    </row>
    <row r="118" spans="1:69" ht="39.950000000000003" customHeight="1" outlineLevel="1" x14ac:dyDescent="0.3">
      <c r="A118" s="15" t="s">
        <v>154</v>
      </c>
      <c r="B118" s="14" t="s">
        <v>1430</v>
      </c>
      <c r="C118" s="9" t="s">
        <v>30</v>
      </c>
      <c r="D118" s="87">
        <v>246518277606</v>
      </c>
      <c r="E118" s="158">
        <f t="shared" si="16"/>
        <v>515.26095999999995</v>
      </c>
      <c r="F118" s="159">
        <f t="shared" si="17"/>
        <v>21.607970000000002</v>
      </c>
      <c r="G118" s="160">
        <f t="shared" si="18"/>
        <v>493.65298999999999</v>
      </c>
      <c r="H118" s="166"/>
      <c r="I118" s="160"/>
      <c r="J118" s="160"/>
      <c r="K118" s="160"/>
      <c r="L118" s="166">
        <v>21.607970000000002</v>
      </c>
      <c r="M118" s="165">
        <v>33.866529999999997</v>
      </c>
      <c r="N118" s="165"/>
      <c r="O118" s="165"/>
      <c r="P118" s="160"/>
      <c r="Q118" s="166"/>
      <c r="R118" s="165"/>
      <c r="S118" s="165"/>
      <c r="T118" s="159"/>
      <c r="U118" s="160"/>
      <c r="V118" s="165"/>
      <c r="W118" s="165"/>
      <c r="X118" s="160"/>
      <c r="Y118" s="166"/>
      <c r="Z118" s="160"/>
      <c r="AA118" s="160"/>
      <c r="AB118" s="165"/>
      <c r="AC118" s="165"/>
      <c r="AD118" s="165"/>
      <c r="AE118" s="165"/>
      <c r="AF118" s="160"/>
      <c r="AG118" s="160"/>
      <c r="AH118" s="160"/>
      <c r="AI118" s="160"/>
      <c r="AJ118" s="161"/>
      <c r="AK118" s="162"/>
      <c r="AL118" s="165"/>
      <c r="AM118" s="166"/>
      <c r="AN118" s="165"/>
      <c r="AO118" s="160"/>
      <c r="AP118" s="162"/>
      <c r="AQ118" s="161"/>
      <c r="AR118" s="162"/>
      <c r="AS118" s="161"/>
      <c r="AT118" s="165"/>
      <c r="AU118" s="166"/>
      <c r="AV118" s="165"/>
      <c r="AW118" s="166"/>
      <c r="AX118" s="165"/>
      <c r="AY118" s="165"/>
      <c r="AZ118" s="165"/>
      <c r="BA118" s="165"/>
      <c r="BB118" s="166"/>
      <c r="BC118" s="165"/>
      <c r="BD118" s="165"/>
      <c r="BE118" s="165"/>
      <c r="BF118" s="165">
        <v>459.78645999999998</v>
      </c>
      <c r="BG118" s="165"/>
      <c r="BH118" s="165"/>
      <c r="BI118" s="165"/>
      <c r="BJ118" s="166"/>
      <c r="BK118" s="165"/>
      <c r="BL118" s="165"/>
      <c r="BM118" s="163"/>
      <c r="BN118" s="165"/>
      <c r="BO118" s="165"/>
      <c r="BP118" s="165"/>
      <c r="BQ118" s="167"/>
    </row>
    <row r="119" spans="1:69" ht="39.950000000000003" customHeight="1" outlineLevel="1" x14ac:dyDescent="0.3">
      <c r="A119" s="15" t="s">
        <v>154</v>
      </c>
      <c r="B119" s="14" t="s">
        <v>178</v>
      </c>
      <c r="C119" s="9" t="s">
        <v>30</v>
      </c>
      <c r="D119" s="66" t="s">
        <v>179</v>
      </c>
      <c r="E119" s="158">
        <f t="shared" si="16"/>
        <v>761.08124999999995</v>
      </c>
      <c r="F119" s="159">
        <f t="shared" si="17"/>
        <v>234.08634000000001</v>
      </c>
      <c r="G119" s="160">
        <f t="shared" si="18"/>
        <v>526.99491</v>
      </c>
      <c r="H119" s="166"/>
      <c r="I119" s="160"/>
      <c r="J119" s="160"/>
      <c r="K119" s="160"/>
      <c r="L119" s="166">
        <v>234.08634000000001</v>
      </c>
      <c r="M119" s="165">
        <v>366.88740999999999</v>
      </c>
      <c r="N119" s="165"/>
      <c r="O119" s="165"/>
      <c r="P119" s="160"/>
      <c r="Q119" s="166"/>
      <c r="R119" s="165"/>
      <c r="S119" s="165"/>
      <c r="T119" s="159"/>
      <c r="U119" s="160"/>
      <c r="V119" s="165"/>
      <c r="W119" s="165"/>
      <c r="X119" s="160"/>
      <c r="Y119" s="166"/>
      <c r="Z119" s="160"/>
      <c r="AA119" s="160"/>
      <c r="AB119" s="165"/>
      <c r="AC119" s="165"/>
      <c r="AD119" s="165"/>
      <c r="AE119" s="165"/>
      <c r="AF119" s="160"/>
      <c r="AG119" s="160"/>
      <c r="AH119" s="160"/>
      <c r="AI119" s="160"/>
      <c r="AJ119" s="161"/>
      <c r="AK119" s="162"/>
      <c r="AL119" s="165"/>
      <c r="AM119" s="166"/>
      <c r="AN119" s="165"/>
      <c r="AO119" s="160"/>
      <c r="AP119" s="162"/>
      <c r="AQ119" s="161"/>
      <c r="AR119" s="162"/>
      <c r="AS119" s="161"/>
      <c r="AT119" s="165"/>
      <c r="AU119" s="166"/>
      <c r="AV119" s="165"/>
      <c r="AW119" s="166"/>
      <c r="AX119" s="165"/>
      <c r="AY119" s="165"/>
      <c r="AZ119" s="165"/>
      <c r="BA119" s="165"/>
      <c r="BB119" s="166"/>
      <c r="BC119" s="165"/>
      <c r="BD119" s="165"/>
      <c r="BE119" s="165"/>
      <c r="BF119" s="165"/>
      <c r="BG119" s="165"/>
      <c r="BH119" s="165"/>
      <c r="BI119" s="165"/>
      <c r="BJ119" s="166"/>
      <c r="BK119" s="165"/>
      <c r="BL119" s="165"/>
      <c r="BM119" s="163"/>
      <c r="BN119" s="165"/>
      <c r="BO119" s="165">
        <v>160.10749999999999</v>
      </c>
      <c r="BP119" s="165"/>
      <c r="BQ119" s="167"/>
    </row>
    <row r="120" spans="1:69" ht="39.950000000000003" customHeight="1" outlineLevel="1" x14ac:dyDescent="0.3">
      <c r="A120" s="15" t="s">
        <v>154</v>
      </c>
      <c r="B120" s="14" t="s">
        <v>192</v>
      </c>
      <c r="C120" s="9" t="s">
        <v>30</v>
      </c>
      <c r="D120" s="66" t="s">
        <v>193</v>
      </c>
      <c r="E120" s="158">
        <f t="shared" si="16"/>
        <v>267.22802999999999</v>
      </c>
      <c r="F120" s="159">
        <f t="shared" si="17"/>
        <v>45.99015</v>
      </c>
      <c r="G120" s="160">
        <f t="shared" si="18"/>
        <v>221.23787999999999</v>
      </c>
      <c r="H120" s="166"/>
      <c r="I120" s="160"/>
      <c r="J120" s="160"/>
      <c r="K120" s="160"/>
      <c r="L120" s="166"/>
      <c r="M120" s="165"/>
      <c r="N120" s="165"/>
      <c r="O120" s="165"/>
      <c r="P120" s="160"/>
      <c r="Q120" s="166"/>
      <c r="R120" s="165"/>
      <c r="S120" s="165"/>
      <c r="T120" s="159"/>
      <c r="U120" s="160"/>
      <c r="V120" s="165"/>
      <c r="W120" s="165"/>
      <c r="X120" s="160"/>
      <c r="Y120" s="166">
        <v>45.99015</v>
      </c>
      <c r="Z120" s="160">
        <v>15.33005</v>
      </c>
      <c r="AA120" s="160">
        <v>205.90782999999999</v>
      </c>
      <c r="AB120" s="165"/>
      <c r="AC120" s="165"/>
      <c r="AD120" s="165"/>
      <c r="AE120" s="165"/>
      <c r="AF120" s="160"/>
      <c r="AG120" s="160"/>
      <c r="AH120" s="160"/>
      <c r="AI120" s="160"/>
      <c r="AJ120" s="161"/>
      <c r="AK120" s="162"/>
      <c r="AL120" s="165"/>
      <c r="AM120" s="166"/>
      <c r="AN120" s="165"/>
      <c r="AO120" s="160"/>
      <c r="AP120" s="162"/>
      <c r="AQ120" s="161"/>
      <c r="AR120" s="162"/>
      <c r="AS120" s="161"/>
      <c r="AT120" s="165"/>
      <c r="AU120" s="166"/>
      <c r="AV120" s="165"/>
      <c r="AW120" s="166"/>
      <c r="AX120" s="165"/>
      <c r="AY120" s="165"/>
      <c r="AZ120" s="165"/>
      <c r="BA120" s="165"/>
      <c r="BB120" s="166"/>
      <c r="BC120" s="165"/>
      <c r="BD120" s="165"/>
      <c r="BE120" s="165"/>
      <c r="BF120" s="165"/>
      <c r="BG120" s="165"/>
      <c r="BH120" s="165"/>
      <c r="BI120" s="165"/>
      <c r="BJ120" s="166"/>
      <c r="BK120" s="165"/>
      <c r="BL120" s="165"/>
      <c r="BM120" s="163"/>
      <c r="BN120" s="165"/>
      <c r="BO120" s="165"/>
      <c r="BP120" s="165"/>
      <c r="BQ120" s="167"/>
    </row>
    <row r="121" spans="1:69" ht="39.950000000000003" customHeight="1" outlineLevel="1" x14ac:dyDescent="0.3">
      <c r="A121" s="15" t="s">
        <v>154</v>
      </c>
      <c r="B121" s="14" t="s">
        <v>194</v>
      </c>
      <c r="C121" s="9" t="s">
        <v>30</v>
      </c>
      <c r="D121" s="66" t="s">
        <v>195</v>
      </c>
      <c r="E121" s="158">
        <f t="shared" si="16"/>
        <v>149.76</v>
      </c>
      <c r="F121" s="159">
        <f t="shared" si="17"/>
        <v>0</v>
      </c>
      <c r="G121" s="160">
        <f t="shared" si="18"/>
        <v>149.76</v>
      </c>
      <c r="H121" s="166"/>
      <c r="I121" s="160"/>
      <c r="J121" s="160"/>
      <c r="K121" s="160"/>
      <c r="L121" s="166"/>
      <c r="M121" s="165"/>
      <c r="N121" s="165"/>
      <c r="O121" s="165"/>
      <c r="P121" s="160"/>
      <c r="Q121" s="166"/>
      <c r="R121" s="165"/>
      <c r="S121" s="165"/>
      <c r="T121" s="159"/>
      <c r="U121" s="160"/>
      <c r="V121" s="165"/>
      <c r="W121" s="165">
        <v>149.76</v>
      </c>
      <c r="X121" s="160"/>
      <c r="Y121" s="166"/>
      <c r="Z121" s="160"/>
      <c r="AA121" s="160"/>
      <c r="AB121" s="165"/>
      <c r="AC121" s="165"/>
      <c r="AD121" s="165"/>
      <c r="AE121" s="165"/>
      <c r="AF121" s="160"/>
      <c r="AG121" s="160"/>
      <c r="AH121" s="160"/>
      <c r="AI121" s="160"/>
      <c r="AJ121" s="161"/>
      <c r="AK121" s="162"/>
      <c r="AL121" s="165"/>
      <c r="AM121" s="166"/>
      <c r="AN121" s="165"/>
      <c r="AO121" s="160"/>
      <c r="AP121" s="162"/>
      <c r="AQ121" s="161"/>
      <c r="AR121" s="162"/>
      <c r="AS121" s="161"/>
      <c r="AT121" s="165"/>
      <c r="AU121" s="166"/>
      <c r="AV121" s="165"/>
      <c r="AW121" s="166"/>
      <c r="AX121" s="165"/>
      <c r="AY121" s="165"/>
      <c r="AZ121" s="165"/>
      <c r="BA121" s="165"/>
      <c r="BB121" s="166"/>
      <c r="BC121" s="165"/>
      <c r="BD121" s="165"/>
      <c r="BE121" s="165"/>
      <c r="BF121" s="165"/>
      <c r="BG121" s="165"/>
      <c r="BH121" s="165"/>
      <c r="BI121" s="165"/>
      <c r="BJ121" s="166"/>
      <c r="BK121" s="165"/>
      <c r="BL121" s="165"/>
      <c r="BM121" s="163"/>
      <c r="BN121" s="165"/>
      <c r="BO121" s="165"/>
      <c r="BP121" s="165"/>
      <c r="BQ121" s="167"/>
    </row>
    <row r="122" spans="1:69" ht="69.75" customHeight="1" outlineLevel="1" x14ac:dyDescent="0.3">
      <c r="A122" s="15" t="s">
        <v>154</v>
      </c>
      <c r="B122" s="14" t="s">
        <v>203</v>
      </c>
      <c r="C122" s="9" t="s">
        <v>30</v>
      </c>
      <c r="D122" s="66" t="s">
        <v>1169</v>
      </c>
      <c r="E122" s="158">
        <f t="shared" si="16"/>
        <v>845.97752000000003</v>
      </c>
      <c r="F122" s="159">
        <f t="shared" si="17"/>
        <v>82.830550000000002</v>
      </c>
      <c r="G122" s="160">
        <f t="shared" si="18"/>
        <v>763.14697000000001</v>
      </c>
      <c r="H122" s="166"/>
      <c r="I122" s="160"/>
      <c r="J122" s="160"/>
      <c r="K122" s="160"/>
      <c r="L122" s="166">
        <v>82.830550000000002</v>
      </c>
      <c r="M122" s="165">
        <v>129.82169999999999</v>
      </c>
      <c r="N122" s="165"/>
      <c r="O122" s="165"/>
      <c r="P122" s="160"/>
      <c r="Q122" s="166"/>
      <c r="R122" s="165"/>
      <c r="S122" s="165"/>
      <c r="T122" s="159"/>
      <c r="U122" s="160"/>
      <c r="V122" s="165"/>
      <c r="W122" s="165"/>
      <c r="X122" s="160"/>
      <c r="Y122" s="166"/>
      <c r="Z122" s="160"/>
      <c r="AA122" s="160"/>
      <c r="AB122" s="165"/>
      <c r="AC122" s="165"/>
      <c r="AD122" s="165"/>
      <c r="AE122" s="165"/>
      <c r="AF122" s="160"/>
      <c r="AG122" s="160"/>
      <c r="AH122" s="160"/>
      <c r="AI122" s="160"/>
      <c r="AJ122" s="161"/>
      <c r="AK122" s="162"/>
      <c r="AL122" s="165"/>
      <c r="AM122" s="166"/>
      <c r="AN122" s="165"/>
      <c r="AO122" s="160"/>
      <c r="AP122" s="162"/>
      <c r="AQ122" s="161"/>
      <c r="AR122" s="162"/>
      <c r="AS122" s="161"/>
      <c r="AT122" s="165"/>
      <c r="AU122" s="166"/>
      <c r="AV122" s="165"/>
      <c r="AW122" s="166"/>
      <c r="AX122" s="165"/>
      <c r="AY122" s="165"/>
      <c r="AZ122" s="165"/>
      <c r="BA122" s="165"/>
      <c r="BB122" s="166"/>
      <c r="BC122" s="165"/>
      <c r="BD122" s="165"/>
      <c r="BE122" s="165"/>
      <c r="BF122" s="165">
        <v>633.32527000000005</v>
      </c>
      <c r="BG122" s="165"/>
      <c r="BH122" s="165"/>
      <c r="BI122" s="165"/>
      <c r="BJ122" s="166"/>
      <c r="BK122" s="165"/>
      <c r="BL122" s="165"/>
      <c r="BM122" s="163"/>
      <c r="BN122" s="165"/>
      <c r="BO122" s="165"/>
      <c r="BP122" s="165"/>
      <c r="BQ122" s="167"/>
    </row>
    <row r="123" spans="1:69" ht="63.75" customHeight="1" outlineLevel="1" x14ac:dyDescent="0.3">
      <c r="A123" s="15" t="s">
        <v>154</v>
      </c>
      <c r="B123" s="14" t="s">
        <v>196</v>
      </c>
      <c r="C123" s="9" t="s">
        <v>30</v>
      </c>
      <c r="D123" s="66" t="s">
        <v>197</v>
      </c>
      <c r="E123" s="158">
        <f t="shared" si="16"/>
        <v>82.508029999999991</v>
      </c>
      <c r="F123" s="159">
        <f t="shared" si="17"/>
        <v>51.87097</v>
      </c>
      <c r="G123" s="160">
        <f t="shared" si="18"/>
        <v>30.637059999999998</v>
      </c>
      <c r="H123" s="166">
        <v>41.055</v>
      </c>
      <c r="I123" s="160">
        <v>13.685</v>
      </c>
      <c r="J123" s="160"/>
      <c r="K123" s="160"/>
      <c r="L123" s="166">
        <v>10.81597</v>
      </c>
      <c r="M123" s="165">
        <v>16.952059999999999</v>
      </c>
      <c r="N123" s="165"/>
      <c r="O123" s="165"/>
      <c r="P123" s="160"/>
      <c r="Q123" s="166"/>
      <c r="R123" s="165"/>
      <c r="S123" s="165"/>
      <c r="T123" s="159"/>
      <c r="U123" s="160"/>
      <c r="V123" s="165"/>
      <c r="W123" s="165"/>
      <c r="X123" s="160"/>
      <c r="Y123" s="166"/>
      <c r="Z123" s="160"/>
      <c r="AA123" s="165"/>
      <c r="AB123" s="165"/>
      <c r="AC123" s="165"/>
      <c r="AD123" s="165"/>
      <c r="AE123" s="165"/>
      <c r="AF123" s="160"/>
      <c r="AG123" s="160"/>
      <c r="AH123" s="160"/>
      <c r="AI123" s="160"/>
      <c r="AJ123" s="161"/>
      <c r="AK123" s="162"/>
      <c r="AL123" s="165"/>
      <c r="AM123" s="166"/>
      <c r="AN123" s="165"/>
      <c r="AO123" s="160"/>
      <c r="AP123" s="162"/>
      <c r="AQ123" s="161"/>
      <c r="AR123" s="162"/>
      <c r="AS123" s="161"/>
      <c r="AT123" s="165"/>
      <c r="AU123" s="166"/>
      <c r="AV123" s="165"/>
      <c r="AW123" s="166"/>
      <c r="AX123" s="165"/>
      <c r="AY123" s="165"/>
      <c r="AZ123" s="165"/>
      <c r="BA123" s="165"/>
      <c r="BB123" s="166"/>
      <c r="BC123" s="165"/>
      <c r="BD123" s="165"/>
      <c r="BE123" s="165"/>
      <c r="BF123" s="165"/>
      <c r="BG123" s="165"/>
      <c r="BH123" s="165"/>
      <c r="BI123" s="165"/>
      <c r="BJ123" s="166"/>
      <c r="BK123" s="165"/>
      <c r="BL123" s="165"/>
      <c r="BM123" s="163"/>
      <c r="BN123" s="165"/>
      <c r="BO123" s="165"/>
      <c r="BP123" s="165"/>
      <c r="BQ123" s="167"/>
    </row>
    <row r="124" spans="1:69" ht="63.75" customHeight="1" outlineLevel="1" x14ac:dyDescent="0.3">
      <c r="A124" s="15" t="s">
        <v>154</v>
      </c>
      <c r="B124" s="14" t="s">
        <v>198</v>
      </c>
      <c r="C124" s="9" t="s">
        <v>30</v>
      </c>
      <c r="D124" s="66" t="s">
        <v>199</v>
      </c>
      <c r="E124" s="158">
        <f t="shared" si="16"/>
        <v>6.8387899999999995</v>
      </c>
      <c r="F124" s="159">
        <f t="shared" si="17"/>
        <v>2.6637900000000001</v>
      </c>
      <c r="G124" s="160">
        <f t="shared" si="18"/>
        <v>4.1749999999999998</v>
      </c>
      <c r="H124" s="166"/>
      <c r="I124" s="160"/>
      <c r="J124" s="160"/>
      <c r="K124" s="160"/>
      <c r="L124" s="166">
        <v>2.6637900000000001</v>
      </c>
      <c r="M124" s="165">
        <v>4.1749999999999998</v>
      </c>
      <c r="N124" s="165"/>
      <c r="O124" s="165"/>
      <c r="P124" s="160"/>
      <c r="Q124" s="166"/>
      <c r="R124" s="165"/>
      <c r="S124" s="165"/>
      <c r="T124" s="159"/>
      <c r="U124" s="160"/>
      <c r="V124" s="165"/>
      <c r="W124" s="165"/>
      <c r="X124" s="160"/>
      <c r="Y124" s="166"/>
      <c r="Z124" s="160"/>
      <c r="AA124" s="160"/>
      <c r="AB124" s="165"/>
      <c r="AC124" s="165"/>
      <c r="AD124" s="165"/>
      <c r="AE124" s="165"/>
      <c r="AF124" s="160"/>
      <c r="AG124" s="160"/>
      <c r="AH124" s="160"/>
      <c r="AI124" s="160"/>
      <c r="AJ124" s="161"/>
      <c r="AK124" s="162"/>
      <c r="AL124" s="165"/>
      <c r="AM124" s="166"/>
      <c r="AN124" s="165"/>
      <c r="AO124" s="160"/>
      <c r="AP124" s="162"/>
      <c r="AQ124" s="161"/>
      <c r="AR124" s="162"/>
      <c r="AS124" s="161"/>
      <c r="AT124" s="165"/>
      <c r="AU124" s="166"/>
      <c r="AV124" s="165"/>
      <c r="AW124" s="166"/>
      <c r="AX124" s="165"/>
      <c r="AY124" s="165"/>
      <c r="AZ124" s="165"/>
      <c r="BA124" s="165"/>
      <c r="BB124" s="166"/>
      <c r="BC124" s="165"/>
      <c r="BD124" s="165"/>
      <c r="BE124" s="165"/>
      <c r="BF124" s="165"/>
      <c r="BG124" s="165"/>
      <c r="BH124" s="165"/>
      <c r="BI124" s="165"/>
      <c r="BJ124" s="166"/>
      <c r="BK124" s="165"/>
      <c r="BL124" s="165"/>
      <c r="BM124" s="163"/>
      <c r="BN124" s="165"/>
      <c r="BO124" s="165"/>
      <c r="BP124" s="165"/>
      <c r="BQ124" s="167"/>
    </row>
    <row r="125" spans="1:69" ht="39.950000000000003" customHeight="1" outlineLevel="1" x14ac:dyDescent="0.3">
      <c r="A125" s="15" t="s">
        <v>154</v>
      </c>
      <c r="B125" s="14" t="s">
        <v>200</v>
      </c>
      <c r="C125" s="9" t="s">
        <v>30</v>
      </c>
      <c r="D125" s="66" t="s">
        <v>201</v>
      </c>
      <c r="E125" s="158">
        <f t="shared" si="16"/>
        <v>2414.0743299999999</v>
      </c>
      <c r="F125" s="159">
        <f t="shared" si="17"/>
        <v>794.16441999999995</v>
      </c>
      <c r="G125" s="160">
        <f t="shared" si="18"/>
        <v>1619.9099100000001</v>
      </c>
      <c r="H125" s="166">
        <v>374.31466</v>
      </c>
      <c r="I125" s="160">
        <v>124.77155</v>
      </c>
      <c r="J125" s="160"/>
      <c r="K125" s="160"/>
      <c r="L125" s="166">
        <v>152.80477999999999</v>
      </c>
      <c r="M125" s="165">
        <v>239.49346</v>
      </c>
      <c r="N125" s="165"/>
      <c r="O125" s="165"/>
      <c r="P125" s="160"/>
      <c r="Q125" s="166"/>
      <c r="R125" s="165"/>
      <c r="S125" s="165"/>
      <c r="T125" s="159"/>
      <c r="U125" s="160"/>
      <c r="V125" s="165"/>
      <c r="W125" s="165"/>
      <c r="X125" s="160"/>
      <c r="Y125" s="166">
        <v>259.74720000000002</v>
      </c>
      <c r="Z125" s="160">
        <v>86.582400000000007</v>
      </c>
      <c r="AA125" s="160">
        <v>1166.14338</v>
      </c>
      <c r="AB125" s="165"/>
      <c r="AC125" s="165"/>
      <c r="AD125" s="165"/>
      <c r="AE125" s="165"/>
      <c r="AF125" s="160"/>
      <c r="AG125" s="160"/>
      <c r="AH125" s="160"/>
      <c r="AI125" s="160"/>
      <c r="AJ125" s="161"/>
      <c r="AK125" s="162"/>
      <c r="AL125" s="165"/>
      <c r="AM125" s="166"/>
      <c r="AN125" s="165"/>
      <c r="AO125" s="160"/>
      <c r="AP125" s="162"/>
      <c r="AQ125" s="161"/>
      <c r="AR125" s="162"/>
      <c r="AS125" s="161"/>
      <c r="AT125" s="165"/>
      <c r="AU125" s="166"/>
      <c r="AV125" s="165"/>
      <c r="AW125" s="166">
        <v>7.2977800000000004</v>
      </c>
      <c r="AX125" s="165">
        <f>0.73926+2.17986</f>
        <v>2.9191200000000004</v>
      </c>
      <c r="AY125" s="165"/>
      <c r="AZ125" s="165"/>
      <c r="BA125" s="165"/>
      <c r="BB125" s="166"/>
      <c r="BC125" s="165"/>
      <c r="BD125" s="165"/>
      <c r="BE125" s="165"/>
      <c r="BF125" s="165"/>
      <c r="BG125" s="165"/>
      <c r="BH125" s="165"/>
      <c r="BI125" s="165"/>
      <c r="BJ125" s="166"/>
      <c r="BK125" s="165"/>
      <c r="BL125" s="165"/>
      <c r="BM125" s="163"/>
      <c r="BN125" s="165"/>
      <c r="BO125" s="165"/>
      <c r="BP125" s="165"/>
      <c r="BQ125" s="167"/>
    </row>
    <row r="126" spans="1:69" ht="39.950000000000003" customHeight="1" outlineLevel="1" x14ac:dyDescent="0.3">
      <c r="A126" s="15" t="s">
        <v>154</v>
      </c>
      <c r="B126" s="14" t="s">
        <v>1409</v>
      </c>
      <c r="C126" s="9" t="s">
        <v>30</v>
      </c>
      <c r="D126" s="66">
        <v>246210216520</v>
      </c>
      <c r="E126" s="158">
        <f t="shared" si="16"/>
        <v>2998.25</v>
      </c>
      <c r="F126" s="159">
        <f t="shared" si="17"/>
        <v>0</v>
      </c>
      <c r="G126" s="160">
        <f t="shared" si="18"/>
        <v>2998.25</v>
      </c>
      <c r="H126" s="166"/>
      <c r="I126" s="160"/>
      <c r="J126" s="160"/>
      <c r="K126" s="160"/>
      <c r="L126" s="166"/>
      <c r="M126" s="165"/>
      <c r="N126" s="165"/>
      <c r="O126" s="165"/>
      <c r="P126" s="160"/>
      <c r="Q126" s="166"/>
      <c r="R126" s="165"/>
      <c r="S126" s="165"/>
      <c r="T126" s="159"/>
      <c r="U126" s="160"/>
      <c r="V126" s="165"/>
      <c r="W126" s="165"/>
      <c r="X126" s="160"/>
      <c r="Y126" s="166"/>
      <c r="Z126" s="160"/>
      <c r="AA126" s="160"/>
      <c r="AB126" s="165"/>
      <c r="AC126" s="165"/>
      <c r="AD126" s="165"/>
      <c r="AE126" s="165"/>
      <c r="AF126" s="160"/>
      <c r="AG126" s="160"/>
      <c r="AH126" s="160"/>
      <c r="AI126" s="160"/>
      <c r="AJ126" s="161">
        <v>2998.25</v>
      </c>
      <c r="AK126" s="162"/>
      <c r="AL126" s="165"/>
      <c r="AM126" s="166"/>
      <c r="AN126" s="165"/>
      <c r="AO126" s="160"/>
      <c r="AP126" s="162"/>
      <c r="AQ126" s="161"/>
      <c r="AR126" s="162"/>
      <c r="AS126" s="161"/>
      <c r="AT126" s="165"/>
      <c r="AU126" s="166"/>
      <c r="AV126" s="165"/>
      <c r="AW126" s="166"/>
      <c r="AX126" s="165"/>
      <c r="AY126" s="165"/>
      <c r="AZ126" s="165"/>
      <c r="BA126" s="165"/>
      <c r="BB126" s="166"/>
      <c r="BC126" s="165"/>
      <c r="BD126" s="165"/>
      <c r="BE126" s="165"/>
      <c r="BF126" s="165"/>
      <c r="BG126" s="165"/>
      <c r="BH126" s="165"/>
      <c r="BI126" s="165"/>
      <c r="BJ126" s="166"/>
      <c r="BK126" s="165"/>
      <c r="BL126" s="165"/>
      <c r="BM126" s="163"/>
      <c r="BN126" s="165"/>
      <c r="BO126" s="165"/>
      <c r="BP126" s="165"/>
      <c r="BQ126" s="167"/>
    </row>
    <row r="127" spans="1:69" ht="39.950000000000003" customHeight="1" outlineLevel="1" x14ac:dyDescent="0.3">
      <c r="A127" s="15" t="s">
        <v>154</v>
      </c>
      <c r="B127" s="14" t="s">
        <v>183</v>
      </c>
      <c r="C127" s="9" t="s">
        <v>30</v>
      </c>
      <c r="D127" s="66" t="s">
        <v>184</v>
      </c>
      <c r="E127" s="158">
        <f t="shared" si="16"/>
        <v>70.248710000000003</v>
      </c>
      <c r="F127" s="159">
        <f t="shared" si="17"/>
        <v>27.3627</v>
      </c>
      <c r="G127" s="160">
        <f t="shared" si="18"/>
        <v>42.886009999999999</v>
      </c>
      <c r="H127" s="166"/>
      <c r="I127" s="160"/>
      <c r="J127" s="160"/>
      <c r="K127" s="160"/>
      <c r="L127" s="166">
        <v>27.3627</v>
      </c>
      <c r="M127" s="165">
        <v>42.886009999999999</v>
      </c>
      <c r="N127" s="165"/>
      <c r="O127" s="165"/>
      <c r="P127" s="160"/>
      <c r="Q127" s="166"/>
      <c r="R127" s="165"/>
      <c r="S127" s="165"/>
      <c r="T127" s="159"/>
      <c r="U127" s="160"/>
      <c r="V127" s="165"/>
      <c r="W127" s="165"/>
      <c r="X127" s="160"/>
      <c r="Y127" s="166"/>
      <c r="Z127" s="160"/>
      <c r="AA127" s="160"/>
      <c r="AB127" s="165"/>
      <c r="AC127" s="165"/>
      <c r="AD127" s="165"/>
      <c r="AE127" s="165"/>
      <c r="AF127" s="160"/>
      <c r="AG127" s="160"/>
      <c r="AH127" s="160"/>
      <c r="AI127" s="160"/>
      <c r="AJ127" s="161"/>
      <c r="AK127" s="162"/>
      <c r="AL127" s="165"/>
      <c r="AM127" s="166"/>
      <c r="AN127" s="165"/>
      <c r="AO127" s="160"/>
      <c r="AP127" s="162"/>
      <c r="AQ127" s="161"/>
      <c r="AR127" s="162"/>
      <c r="AS127" s="161"/>
      <c r="AT127" s="165"/>
      <c r="AU127" s="166"/>
      <c r="AV127" s="165"/>
      <c r="AW127" s="166"/>
      <c r="AX127" s="165"/>
      <c r="AY127" s="165"/>
      <c r="AZ127" s="165"/>
      <c r="BA127" s="165"/>
      <c r="BB127" s="166"/>
      <c r="BC127" s="165"/>
      <c r="BD127" s="165"/>
      <c r="BE127" s="165"/>
      <c r="BF127" s="165"/>
      <c r="BG127" s="165"/>
      <c r="BH127" s="165"/>
      <c r="BI127" s="165"/>
      <c r="BJ127" s="166"/>
      <c r="BK127" s="165"/>
      <c r="BL127" s="165"/>
      <c r="BM127" s="163"/>
      <c r="BN127" s="165"/>
      <c r="BO127" s="165"/>
      <c r="BP127" s="165"/>
      <c r="BQ127" s="167"/>
    </row>
    <row r="128" spans="1:69" ht="39.950000000000003" customHeight="1" outlineLevel="1" x14ac:dyDescent="0.3">
      <c r="A128" s="15" t="s">
        <v>154</v>
      </c>
      <c r="B128" s="14" t="s">
        <v>1499</v>
      </c>
      <c r="C128" s="9" t="s">
        <v>30</v>
      </c>
      <c r="D128" s="66">
        <v>240403313511</v>
      </c>
      <c r="E128" s="158">
        <f t="shared" si="16"/>
        <v>3000</v>
      </c>
      <c r="F128" s="159">
        <f t="shared" si="17"/>
        <v>0</v>
      </c>
      <c r="G128" s="160">
        <f t="shared" si="18"/>
        <v>3000</v>
      </c>
      <c r="H128" s="166"/>
      <c r="I128" s="160"/>
      <c r="J128" s="160"/>
      <c r="K128" s="160"/>
      <c r="L128" s="166"/>
      <c r="M128" s="165"/>
      <c r="N128" s="165"/>
      <c r="O128" s="165"/>
      <c r="P128" s="160"/>
      <c r="Q128" s="166"/>
      <c r="R128" s="165"/>
      <c r="S128" s="165"/>
      <c r="T128" s="159"/>
      <c r="U128" s="160"/>
      <c r="V128" s="165"/>
      <c r="W128" s="165"/>
      <c r="X128" s="160"/>
      <c r="Y128" s="166"/>
      <c r="Z128" s="160"/>
      <c r="AA128" s="160"/>
      <c r="AB128" s="165"/>
      <c r="AC128" s="165"/>
      <c r="AD128" s="165"/>
      <c r="AE128" s="165"/>
      <c r="AF128" s="160"/>
      <c r="AG128" s="160"/>
      <c r="AH128" s="160"/>
      <c r="AI128" s="160"/>
      <c r="AJ128" s="161">
        <v>3000</v>
      </c>
      <c r="AK128" s="162"/>
      <c r="AL128" s="165"/>
      <c r="AM128" s="166"/>
      <c r="AN128" s="165"/>
      <c r="AO128" s="160"/>
      <c r="AP128" s="162"/>
      <c r="AQ128" s="161"/>
      <c r="AR128" s="162"/>
      <c r="AS128" s="161"/>
      <c r="AT128" s="165"/>
      <c r="AU128" s="166"/>
      <c r="AV128" s="165"/>
      <c r="AW128" s="166"/>
      <c r="AX128" s="165"/>
      <c r="AY128" s="165"/>
      <c r="AZ128" s="165"/>
      <c r="BA128" s="165"/>
      <c r="BB128" s="166"/>
      <c r="BC128" s="165"/>
      <c r="BD128" s="165"/>
      <c r="BE128" s="165"/>
      <c r="BF128" s="165"/>
      <c r="BG128" s="165"/>
      <c r="BH128" s="165"/>
      <c r="BI128" s="165"/>
      <c r="BJ128" s="166"/>
      <c r="BK128" s="165"/>
      <c r="BL128" s="165"/>
      <c r="BM128" s="163"/>
      <c r="BN128" s="165"/>
      <c r="BO128" s="165"/>
      <c r="BP128" s="165"/>
      <c r="BQ128" s="167"/>
    </row>
    <row r="129" spans="1:270" ht="39.950000000000003" customHeight="1" outlineLevel="1" x14ac:dyDescent="0.3">
      <c r="A129" s="15" t="s">
        <v>154</v>
      </c>
      <c r="B129" s="14" t="s">
        <v>1278</v>
      </c>
      <c r="C129" s="9" t="s">
        <v>30</v>
      </c>
      <c r="D129" s="66">
        <v>245800207773</v>
      </c>
      <c r="E129" s="158">
        <f t="shared" si="16"/>
        <v>199.68</v>
      </c>
      <c r="F129" s="159">
        <f t="shared" si="17"/>
        <v>0</v>
      </c>
      <c r="G129" s="160">
        <f t="shared" si="18"/>
        <v>199.68</v>
      </c>
      <c r="H129" s="166"/>
      <c r="I129" s="160"/>
      <c r="J129" s="160"/>
      <c r="K129" s="160"/>
      <c r="L129" s="166"/>
      <c r="M129" s="165"/>
      <c r="N129" s="165"/>
      <c r="O129" s="165"/>
      <c r="P129" s="160"/>
      <c r="Q129" s="166"/>
      <c r="R129" s="165"/>
      <c r="S129" s="165"/>
      <c r="T129" s="159"/>
      <c r="U129" s="160"/>
      <c r="V129" s="165"/>
      <c r="W129" s="165">
        <v>199.68</v>
      </c>
      <c r="X129" s="160"/>
      <c r="Y129" s="166"/>
      <c r="Z129" s="160"/>
      <c r="AA129" s="160"/>
      <c r="AB129" s="165"/>
      <c r="AC129" s="165"/>
      <c r="AD129" s="165"/>
      <c r="AE129" s="165"/>
      <c r="AF129" s="160"/>
      <c r="AG129" s="160"/>
      <c r="AH129" s="160"/>
      <c r="AI129" s="160"/>
      <c r="AJ129" s="161"/>
      <c r="AK129" s="162"/>
      <c r="AL129" s="165"/>
      <c r="AM129" s="166"/>
      <c r="AN129" s="165"/>
      <c r="AO129" s="160"/>
      <c r="AP129" s="162"/>
      <c r="AQ129" s="161"/>
      <c r="AR129" s="162"/>
      <c r="AS129" s="161"/>
      <c r="AT129" s="165"/>
      <c r="AU129" s="166"/>
      <c r="AV129" s="165"/>
      <c r="AW129" s="166"/>
      <c r="AX129" s="165"/>
      <c r="AY129" s="165"/>
      <c r="AZ129" s="165"/>
      <c r="BA129" s="165"/>
      <c r="BB129" s="166"/>
      <c r="BC129" s="165"/>
      <c r="BD129" s="165"/>
      <c r="BE129" s="165"/>
      <c r="BF129" s="165"/>
      <c r="BG129" s="165"/>
      <c r="BH129" s="165"/>
      <c r="BI129" s="165"/>
      <c r="BJ129" s="166"/>
      <c r="BK129" s="165"/>
      <c r="BL129" s="165"/>
      <c r="BM129" s="163"/>
      <c r="BN129" s="165"/>
      <c r="BO129" s="165"/>
      <c r="BP129" s="165"/>
      <c r="BQ129" s="167"/>
    </row>
    <row r="130" spans="1:270" ht="39.950000000000003" customHeight="1" outlineLevel="1" x14ac:dyDescent="0.3">
      <c r="A130" s="15" t="s">
        <v>154</v>
      </c>
      <c r="B130" s="14" t="s">
        <v>208</v>
      </c>
      <c r="C130" s="9" t="s">
        <v>73</v>
      </c>
      <c r="D130" s="66" t="s">
        <v>209</v>
      </c>
      <c r="E130" s="158">
        <f t="shared" si="16"/>
        <v>36.894100000000002</v>
      </c>
      <c r="F130" s="159">
        <f t="shared" si="17"/>
        <v>0</v>
      </c>
      <c r="G130" s="160">
        <f t="shared" si="18"/>
        <v>36.894100000000002</v>
      </c>
      <c r="H130" s="166"/>
      <c r="I130" s="160"/>
      <c r="J130" s="160"/>
      <c r="K130" s="160"/>
      <c r="L130" s="166"/>
      <c r="M130" s="165"/>
      <c r="N130" s="165"/>
      <c r="O130" s="165"/>
      <c r="P130" s="160"/>
      <c r="Q130" s="166"/>
      <c r="R130" s="165"/>
      <c r="S130" s="165"/>
      <c r="T130" s="159"/>
      <c r="U130" s="160"/>
      <c r="V130" s="165"/>
      <c r="W130" s="165"/>
      <c r="X130" s="160"/>
      <c r="Y130" s="166"/>
      <c r="Z130" s="160"/>
      <c r="AA130" s="160"/>
      <c r="AB130" s="165"/>
      <c r="AC130" s="165"/>
      <c r="AD130" s="165"/>
      <c r="AE130" s="165"/>
      <c r="AF130" s="160"/>
      <c r="AG130" s="160">
        <f>19.90136+16.99274</f>
        <v>36.894100000000002</v>
      </c>
      <c r="AH130" s="160"/>
      <c r="AI130" s="160"/>
      <c r="AJ130" s="161"/>
      <c r="AK130" s="162"/>
      <c r="AL130" s="165"/>
      <c r="AM130" s="166"/>
      <c r="AN130" s="165"/>
      <c r="AO130" s="160"/>
      <c r="AP130" s="162"/>
      <c r="AQ130" s="161"/>
      <c r="AR130" s="162"/>
      <c r="AS130" s="161"/>
      <c r="AT130" s="165"/>
      <c r="AU130" s="166"/>
      <c r="AV130" s="165"/>
      <c r="AW130" s="166"/>
      <c r="AX130" s="165"/>
      <c r="AY130" s="165"/>
      <c r="AZ130" s="165"/>
      <c r="BA130" s="165"/>
      <c r="BB130" s="166"/>
      <c r="BC130" s="165"/>
      <c r="BD130" s="165"/>
      <c r="BE130" s="165"/>
      <c r="BF130" s="165"/>
      <c r="BG130" s="165"/>
      <c r="BH130" s="165"/>
      <c r="BI130" s="165"/>
      <c r="BJ130" s="166"/>
      <c r="BK130" s="165"/>
      <c r="BL130" s="165"/>
      <c r="BM130" s="163"/>
      <c r="BN130" s="165"/>
      <c r="BO130" s="165"/>
      <c r="BP130" s="165"/>
      <c r="BQ130" s="167"/>
    </row>
    <row r="131" spans="1:270" ht="39.950000000000003" customHeight="1" outlineLevel="1" x14ac:dyDescent="0.3">
      <c r="A131" s="15" t="s">
        <v>154</v>
      </c>
      <c r="B131" s="14" t="s">
        <v>1562</v>
      </c>
      <c r="C131" s="9" t="s">
        <v>73</v>
      </c>
      <c r="D131" s="66">
        <v>2404008506</v>
      </c>
      <c r="E131" s="158">
        <f t="shared" si="16"/>
        <v>1725.44227</v>
      </c>
      <c r="F131" s="159">
        <f t="shared" si="17"/>
        <v>278.45877000000002</v>
      </c>
      <c r="G131" s="160">
        <f t="shared" si="18"/>
        <v>1446.9835</v>
      </c>
      <c r="H131" s="166"/>
      <c r="I131" s="160"/>
      <c r="J131" s="160"/>
      <c r="K131" s="160"/>
      <c r="L131" s="166"/>
      <c r="M131" s="165"/>
      <c r="N131" s="165"/>
      <c r="O131" s="165"/>
      <c r="P131" s="160"/>
      <c r="Q131" s="166"/>
      <c r="R131" s="165"/>
      <c r="S131" s="165"/>
      <c r="T131" s="159"/>
      <c r="U131" s="160"/>
      <c r="V131" s="165"/>
      <c r="W131" s="165"/>
      <c r="X131" s="160"/>
      <c r="Y131" s="166"/>
      <c r="Z131" s="160"/>
      <c r="AA131" s="160"/>
      <c r="AB131" s="165"/>
      <c r="AC131" s="165"/>
      <c r="AD131" s="165"/>
      <c r="AE131" s="165"/>
      <c r="AF131" s="160"/>
      <c r="AG131" s="160">
        <v>1432.3277700000001</v>
      </c>
      <c r="AH131" s="160"/>
      <c r="AI131" s="160"/>
      <c r="AJ131" s="161"/>
      <c r="AK131" s="162"/>
      <c r="AL131" s="165"/>
      <c r="AM131" s="166"/>
      <c r="AN131" s="165"/>
      <c r="AO131" s="160"/>
      <c r="AP131" s="162"/>
      <c r="AQ131" s="161"/>
      <c r="AR131" s="162">
        <v>278.45877000000002</v>
      </c>
      <c r="AS131" s="161">
        <v>14.65573</v>
      </c>
      <c r="AT131" s="165"/>
      <c r="AU131" s="166"/>
      <c r="AV131" s="165"/>
      <c r="AW131" s="166"/>
      <c r="AX131" s="165"/>
      <c r="AY131" s="165"/>
      <c r="AZ131" s="165"/>
      <c r="BA131" s="165"/>
      <c r="BB131" s="166"/>
      <c r="BC131" s="165"/>
      <c r="BD131" s="165"/>
      <c r="BE131" s="165"/>
      <c r="BF131" s="165"/>
      <c r="BG131" s="165"/>
      <c r="BH131" s="165"/>
      <c r="BI131" s="165"/>
      <c r="BJ131" s="166"/>
      <c r="BK131" s="165"/>
      <c r="BL131" s="165"/>
      <c r="BM131" s="163"/>
      <c r="BN131" s="165"/>
      <c r="BO131" s="165"/>
      <c r="BP131" s="165"/>
      <c r="BQ131" s="167"/>
    </row>
    <row r="132" spans="1:270" ht="39.950000000000003" customHeight="1" outlineLevel="1" x14ac:dyDescent="0.3">
      <c r="A132" s="15" t="s">
        <v>154</v>
      </c>
      <c r="B132" s="14" t="s">
        <v>1568</v>
      </c>
      <c r="C132" s="9" t="s">
        <v>6</v>
      </c>
      <c r="D132" s="66">
        <v>2464007196</v>
      </c>
      <c r="E132" s="158">
        <f t="shared" si="16"/>
        <v>32046.276600000001</v>
      </c>
      <c r="F132" s="159">
        <f t="shared" si="17"/>
        <v>0</v>
      </c>
      <c r="G132" s="160">
        <f t="shared" si="18"/>
        <v>32046.276600000001</v>
      </c>
      <c r="H132" s="166"/>
      <c r="I132" s="160"/>
      <c r="J132" s="160"/>
      <c r="K132" s="160"/>
      <c r="L132" s="166"/>
      <c r="M132" s="165"/>
      <c r="N132" s="165"/>
      <c r="O132" s="165"/>
      <c r="P132" s="160"/>
      <c r="Q132" s="166"/>
      <c r="R132" s="165"/>
      <c r="S132" s="165"/>
      <c r="T132" s="159"/>
      <c r="U132" s="160"/>
      <c r="V132" s="165"/>
      <c r="W132" s="165"/>
      <c r="X132" s="160"/>
      <c r="Y132" s="166"/>
      <c r="Z132" s="160"/>
      <c r="AA132" s="160"/>
      <c r="AB132" s="165"/>
      <c r="AC132" s="165">
        <v>32046.276600000001</v>
      </c>
      <c r="AD132" s="165"/>
      <c r="AE132" s="165"/>
      <c r="AF132" s="160"/>
      <c r="AG132" s="160"/>
      <c r="AH132" s="160"/>
      <c r="AI132" s="160"/>
      <c r="AJ132" s="161"/>
      <c r="AK132" s="162"/>
      <c r="AL132" s="165"/>
      <c r="AM132" s="166"/>
      <c r="AN132" s="165"/>
      <c r="AO132" s="160"/>
      <c r="AP132" s="162"/>
      <c r="AQ132" s="161"/>
      <c r="AR132" s="162"/>
      <c r="AS132" s="161"/>
      <c r="AT132" s="165"/>
      <c r="AU132" s="166"/>
      <c r="AV132" s="165"/>
      <c r="AW132" s="166"/>
      <c r="AX132" s="165"/>
      <c r="AY132" s="165"/>
      <c r="AZ132" s="165"/>
      <c r="BA132" s="165"/>
      <c r="BB132" s="166"/>
      <c r="BC132" s="165"/>
      <c r="BD132" s="165"/>
      <c r="BE132" s="165"/>
      <c r="BF132" s="165"/>
      <c r="BG132" s="165"/>
      <c r="BH132" s="165"/>
      <c r="BI132" s="165"/>
      <c r="BJ132" s="166"/>
      <c r="BK132" s="165"/>
      <c r="BL132" s="165"/>
      <c r="BM132" s="163"/>
      <c r="BN132" s="165"/>
      <c r="BO132" s="165"/>
      <c r="BP132" s="165"/>
      <c r="BQ132" s="167"/>
    </row>
    <row r="133" spans="1:270" ht="39.950000000000003" customHeight="1" outlineLevel="1" x14ac:dyDescent="0.3">
      <c r="A133" s="15" t="s">
        <v>154</v>
      </c>
      <c r="B133" s="14" t="s">
        <v>163</v>
      </c>
      <c r="C133" s="9" t="s">
        <v>6</v>
      </c>
      <c r="D133" s="66" t="s">
        <v>164</v>
      </c>
      <c r="E133" s="158">
        <f t="shared" si="16"/>
        <v>4690.9465300000002</v>
      </c>
      <c r="F133" s="159">
        <f t="shared" si="17"/>
        <v>108.03985</v>
      </c>
      <c r="G133" s="160">
        <f t="shared" si="18"/>
        <v>4582.9066800000001</v>
      </c>
      <c r="H133" s="166"/>
      <c r="I133" s="160"/>
      <c r="J133" s="160"/>
      <c r="K133" s="160"/>
      <c r="L133" s="166">
        <v>108.03985</v>
      </c>
      <c r="M133" s="165">
        <v>169.33265</v>
      </c>
      <c r="N133" s="165"/>
      <c r="O133" s="165"/>
      <c r="P133" s="160"/>
      <c r="Q133" s="166"/>
      <c r="R133" s="165"/>
      <c r="S133" s="165"/>
      <c r="T133" s="159"/>
      <c r="U133" s="160"/>
      <c r="V133" s="165"/>
      <c r="W133" s="165"/>
      <c r="X133" s="160"/>
      <c r="Y133" s="166"/>
      <c r="Z133" s="160"/>
      <c r="AA133" s="160"/>
      <c r="AB133" s="165"/>
      <c r="AC133" s="165"/>
      <c r="AD133" s="165"/>
      <c r="AE133" s="165"/>
      <c r="AF133" s="160"/>
      <c r="AG133" s="160"/>
      <c r="AH133" s="160"/>
      <c r="AI133" s="160">
        <v>552.01301999999998</v>
      </c>
      <c r="AJ133" s="161"/>
      <c r="AK133" s="162"/>
      <c r="AL133" s="165"/>
      <c r="AM133" s="166"/>
      <c r="AN133" s="165"/>
      <c r="AO133" s="160"/>
      <c r="AP133" s="162"/>
      <c r="AQ133" s="161"/>
      <c r="AR133" s="162"/>
      <c r="AS133" s="161"/>
      <c r="AT133" s="165"/>
      <c r="AU133" s="166"/>
      <c r="AV133" s="165"/>
      <c r="AW133" s="166"/>
      <c r="AX133" s="165"/>
      <c r="AY133" s="165"/>
      <c r="AZ133" s="165"/>
      <c r="BA133" s="165"/>
      <c r="BB133" s="166"/>
      <c r="BC133" s="165"/>
      <c r="BD133" s="165"/>
      <c r="BE133" s="165">
        <v>853.41548</v>
      </c>
      <c r="BF133" s="165">
        <v>3008.1455299999998</v>
      </c>
      <c r="BG133" s="165"/>
      <c r="BH133" s="165"/>
      <c r="BI133" s="165"/>
      <c r="BJ133" s="166"/>
      <c r="BK133" s="165"/>
      <c r="BL133" s="165"/>
      <c r="BM133" s="163"/>
      <c r="BN133" s="165"/>
      <c r="BO133" s="165"/>
      <c r="BP133" s="165"/>
      <c r="BQ133" s="167"/>
    </row>
    <row r="134" spans="1:270" ht="39.950000000000003" customHeight="1" outlineLevel="1" x14ac:dyDescent="0.3">
      <c r="A134" s="15" t="s">
        <v>154</v>
      </c>
      <c r="B134" s="14" t="s">
        <v>165</v>
      </c>
      <c r="C134" s="9" t="s">
        <v>6</v>
      </c>
      <c r="D134" s="66" t="s">
        <v>166</v>
      </c>
      <c r="E134" s="158">
        <f t="shared" si="16"/>
        <v>295.86399999999998</v>
      </c>
      <c r="F134" s="159">
        <f t="shared" si="17"/>
        <v>115.24251</v>
      </c>
      <c r="G134" s="160">
        <f t="shared" si="18"/>
        <v>180.62148999999999</v>
      </c>
      <c r="H134" s="166"/>
      <c r="I134" s="160"/>
      <c r="J134" s="160"/>
      <c r="K134" s="160"/>
      <c r="L134" s="166">
        <v>115.24251</v>
      </c>
      <c r="M134" s="165">
        <v>180.62148999999999</v>
      </c>
      <c r="N134" s="165"/>
      <c r="O134" s="165"/>
      <c r="P134" s="160"/>
      <c r="Q134" s="166"/>
      <c r="R134" s="165"/>
      <c r="S134" s="165"/>
      <c r="T134" s="159"/>
      <c r="U134" s="160"/>
      <c r="V134" s="165"/>
      <c r="W134" s="165"/>
      <c r="X134" s="160"/>
      <c r="Y134" s="166"/>
      <c r="Z134" s="160"/>
      <c r="AA134" s="160"/>
      <c r="AB134" s="165"/>
      <c r="AC134" s="165"/>
      <c r="AD134" s="165"/>
      <c r="AE134" s="165"/>
      <c r="AF134" s="160"/>
      <c r="AG134" s="160"/>
      <c r="AH134" s="160"/>
      <c r="AI134" s="160"/>
      <c r="AJ134" s="161"/>
      <c r="AK134" s="162"/>
      <c r="AL134" s="165"/>
      <c r="AM134" s="166"/>
      <c r="AN134" s="165"/>
      <c r="AO134" s="160"/>
      <c r="AP134" s="162"/>
      <c r="AQ134" s="161"/>
      <c r="AR134" s="162"/>
      <c r="AS134" s="161"/>
      <c r="AT134" s="165"/>
      <c r="AU134" s="166"/>
      <c r="AV134" s="165"/>
      <c r="AW134" s="166"/>
      <c r="AX134" s="165"/>
      <c r="AY134" s="165"/>
      <c r="AZ134" s="165"/>
      <c r="BA134" s="165"/>
      <c r="BB134" s="166"/>
      <c r="BC134" s="165"/>
      <c r="BD134" s="165"/>
      <c r="BE134" s="165"/>
      <c r="BF134" s="165"/>
      <c r="BG134" s="165"/>
      <c r="BH134" s="165"/>
      <c r="BI134" s="165"/>
      <c r="BJ134" s="166"/>
      <c r="BK134" s="165"/>
      <c r="BL134" s="165"/>
      <c r="BM134" s="163"/>
      <c r="BN134" s="165"/>
      <c r="BO134" s="165"/>
      <c r="BP134" s="165"/>
      <c r="BQ134" s="167"/>
    </row>
    <row r="135" spans="1:270" ht="39.950000000000003" customHeight="1" outlineLevel="1" x14ac:dyDescent="0.3">
      <c r="A135" s="15" t="s">
        <v>154</v>
      </c>
      <c r="B135" s="19" t="s">
        <v>155</v>
      </c>
      <c r="C135" s="9" t="s">
        <v>6</v>
      </c>
      <c r="D135" s="66" t="s">
        <v>156</v>
      </c>
      <c r="E135" s="158">
        <f t="shared" si="16"/>
        <v>246.69739999999999</v>
      </c>
      <c r="F135" s="159">
        <f t="shared" si="17"/>
        <v>96.091530000000006</v>
      </c>
      <c r="G135" s="160">
        <f t="shared" si="18"/>
        <v>150.60586999999998</v>
      </c>
      <c r="H135" s="166"/>
      <c r="I135" s="160"/>
      <c r="J135" s="160"/>
      <c r="K135" s="160"/>
      <c r="L135" s="166">
        <f>31.98789+64.10364</f>
        <v>96.091530000000006</v>
      </c>
      <c r="M135" s="165">
        <f>50.13516+100.47071</f>
        <v>150.60586999999998</v>
      </c>
      <c r="N135" s="165"/>
      <c r="O135" s="165"/>
      <c r="P135" s="160"/>
      <c r="Q135" s="166"/>
      <c r="R135" s="165"/>
      <c r="S135" s="165"/>
      <c r="T135" s="159"/>
      <c r="U135" s="160"/>
      <c r="V135" s="165"/>
      <c r="W135" s="165"/>
      <c r="X135" s="160"/>
      <c r="Y135" s="166"/>
      <c r="Z135" s="160"/>
      <c r="AA135" s="160"/>
      <c r="AB135" s="165"/>
      <c r="AC135" s="165"/>
      <c r="AD135" s="165"/>
      <c r="AE135" s="165"/>
      <c r="AF135" s="160"/>
      <c r="AG135" s="160"/>
      <c r="AH135" s="160"/>
      <c r="AI135" s="160"/>
      <c r="AJ135" s="161"/>
      <c r="AK135" s="162"/>
      <c r="AL135" s="165"/>
      <c r="AM135" s="166"/>
      <c r="AN135" s="165"/>
      <c r="AO135" s="160"/>
      <c r="AP135" s="162"/>
      <c r="AQ135" s="161"/>
      <c r="AR135" s="162"/>
      <c r="AS135" s="161"/>
      <c r="AT135" s="165"/>
      <c r="AU135" s="166"/>
      <c r="AV135" s="165"/>
      <c r="AW135" s="166"/>
      <c r="AX135" s="165"/>
      <c r="AY135" s="165"/>
      <c r="AZ135" s="165"/>
      <c r="BA135" s="165"/>
      <c r="BB135" s="166"/>
      <c r="BC135" s="165"/>
      <c r="BD135" s="165"/>
      <c r="BE135" s="165"/>
      <c r="BF135" s="165"/>
      <c r="BG135" s="165"/>
      <c r="BH135" s="165"/>
      <c r="BI135" s="165"/>
      <c r="BJ135" s="166"/>
      <c r="BK135" s="165"/>
      <c r="BL135" s="165"/>
      <c r="BM135" s="163"/>
      <c r="BN135" s="165"/>
      <c r="BO135" s="165"/>
      <c r="BP135" s="165"/>
      <c r="BQ135" s="167"/>
    </row>
    <row r="136" spans="1:270" ht="39.950000000000003" customHeight="1" outlineLevel="1" x14ac:dyDescent="0.3">
      <c r="A136" s="15" t="s">
        <v>154</v>
      </c>
      <c r="B136" s="19" t="s">
        <v>1335</v>
      </c>
      <c r="C136" s="9" t="s">
        <v>6</v>
      </c>
      <c r="D136" s="66">
        <v>2465243881</v>
      </c>
      <c r="E136" s="158">
        <f t="shared" si="16"/>
        <v>10000</v>
      </c>
      <c r="F136" s="159">
        <f t="shared" si="17"/>
        <v>0</v>
      </c>
      <c r="G136" s="160">
        <f t="shared" si="18"/>
        <v>10000</v>
      </c>
      <c r="H136" s="166"/>
      <c r="I136" s="160"/>
      <c r="J136" s="160"/>
      <c r="K136" s="160"/>
      <c r="L136" s="166"/>
      <c r="M136" s="165"/>
      <c r="N136" s="165"/>
      <c r="O136" s="165"/>
      <c r="P136" s="160"/>
      <c r="Q136" s="166"/>
      <c r="R136" s="165"/>
      <c r="S136" s="165"/>
      <c r="T136" s="159"/>
      <c r="U136" s="160"/>
      <c r="V136" s="165"/>
      <c r="W136" s="165"/>
      <c r="X136" s="160"/>
      <c r="Y136" s="166"/>
      <c r="Z136" s="160"/>
      <c r="AA136" s="160"/>
      <c r="AB136" s="165"/>
      <c r="AC136" s="165"/>
      <c r="AD136" s="165">
        <v>10000</v>
      </c>
      <c r="AE136" s="165"/>
      <c r="AF136" s="160"/>
      <c r="AG136" s="160"/>
      <c r="AH136" s="160"/>
      <c r="AI136" s="160"/>
      <c r="AJ136" s="161"/>
      <c r="AK136" s="162"/>
      <c r="AL136" s="165"/>
      <c r="AM136" s="166"/>
      <c r="AN136" s="165"/>
      <c r="AO136" s="160"/>
      <c r="AP136" s="162"/>
      <c r="AQ136" s="161"/>
      <c r="AR136" s="162"/>
      <c r="AS136" s="161"/>
      <c r="AT136" s="165"/>
      <c r="AU136" s="166"/>
      <c r="AV136" s="165"/>
      <c r="AW136" s="166"/>
      <c r="AX136" s="165"/>
      <c r="AY136" s="165"/>
      <c r="AZ136" s="165"/>
      <c r="BA136" s="165"/>
      <c r="BB136" s="166"/>
      <c r="BC136" s="165"/>
      <c r="BD136" s="165"/>
      <c r="BE136" s="165"/>
      <c r="BF136" s="165"/>
      <c r="BG136" s="165"/>
      <c r="BH136" s="165"/>
      <c r="BI136" s="165"/>
      <c r="BJ136" s="166"/>
      <c r="BK136" s="165"/>
      <c r="BL136" s="165"/>
      <c r="BM136" s="163"/>
      <c r="BN136" s="165"/>
      <c r="BO136" s="165"/>
      <c r="BP136" s="165"/>
      <c r="BQ136" s="167"/>
    </row>
    <row r="137" spans="1:270" ht="39.950000000000003" customHeight="1" outlineLevel="1" x14ac:dyDescent="0.3">
      <c r="A137" s="15" t="s">
        <v>154</v>
      </c>
      <c r="B137" s="14" t="s">
        <v>157</v>
      </c>
      <c r="C137" s="9" t="s">
        <v>6</v>
      </c>
      <c r="D137" s="66" t="s">
        <v>158</v>
      </c>
      <c r="E137" s="158">
        <f t="shared" si="16"/>
        <v>14622.013360000001</v>
      </c>
      <c r="F137" s="159">
        <f t="shared" si="17"/>
        <v>5703.5564199999999</v>
      </c>
      <c r="G137" s="160">
        <f t="shared" si="18"/>
        <v>8918.45694</v>
      </c>
      <c r="H137" s="166"/>
      <c r="I137" s="165"/>
      <c r="J137" s="160"/>
      <c r="K137" s="160"/>
      <c r="L137" s="166">
        <f>140.49+180.06642</f>
        <v>320.55642</v>
      </c>
      <c r="M137" s="165">
        <f>220.19231+282.22108</f>
        <v>502.41338999999994</v>
      </c>
      <c r="N137" s="165"/>
      <c r="O137" s="165"/>
      <c r="P137" s="160"/>
      <c r="Q137" s="166"/>
      <c r="R137" s="165"/>
      <c r="S137" s="165"/>
      <c r="T137" s="159"/>
      <c r="U137" s="160"/>
      <c r="V137" s="165"/>
      <c r="W137" s="165"/>
      <c r="X137" s="160"/>
      <c r="Y137" s="166"/>
      <c r="Z137" s="160"/>
      <c r="AA137" s="160"/>
      <c r="AB137" s="165"/>
      <c r="AC137" s="165"/>
      <c r="AD137" s="165"/>
      <c r="AE137" s="165"/>
      <c r="AF137" s="160"/>
      <c r="AG137" s="160"/>
      <c r="AH137" s="160"/>
      <c r="AI137" s="160"/>
      <c r="AJ137" s="161"/>
      <c r="AK137" s="162"/>
      <c r="AL137" s="165"/>
      <c r="AM137" s="166"/>
      <c r="AN137" s="165"/>
      <c r="AO137" s="160"/>
      <c r="AP137" s="162"/>
      <c r="AQ137" s="161"/>
      <c r="AR137" s="162"/>
      <c r="AS137" s="161"/>
      <c r="AT137" s="165"/>
      <c r="AU137" s="166"/>
      <c r="AV137" s="165"/>
      <c r="AW137" s="166"/>
      <c r="AX137" s="165"/>
      <c r="AY137" s="165"/>
      <c r="AZ137" s="165"/>
      <c r="BA137" s="165"/>
      <c r="BB137" s="166"/>
      <c r="BC137" s="165"/>
      <c r="BD137" s="165"/>
      <c r="BE137" s="165"/>
      <c r="BF137" s="165"/>
      <c r="BG137" s="165"/>
      <c r="BH137" s="165"/>
      <c r="BI137" s="165"/>
      <c r="BJ137" s="166">
        <v>5383</v>
      </c>
      <c r="BK137" s="165">
        <v>7918.2107800000003</v>
      </c>
      <c r="BL137" s="165"/>
      <c r="BM137" s="163"/>
      <c r="BN137" s="165"/>
      <c r="BO137" s="165">
        <v>497.83276999999998</v>
      </c>
      <c r="BP137" s="165"/>
      <c r="BQ137" s="167"/>
    </row>
    <row r="138" spans="1:270" ht="39.950000000000003" customHeight="1" outlineLevel="1" x14ac:dyDescent="0.3">
      <c r="A138" s="15" t="s">
        <v>154</v>
      </c>
      <c r="B138" s="19" t="s">
        <v>159</v>
      </c>
      <c r="C138" s="9" t="s">
        <v>6</v>
      </c>
      <c r="D138" s="66" t="s">
        <v>160</v>
      </c>
      <c r="E138" s="158">
        <f t="shared" si="16"/>
        <v>44.379599999999996</v>
      </c>
      <c r="F138" s="159">
        <f t="shared" si="17"/>
        <v>17.286380000000001</v>
      </c>
      <c r="G138" s="160">
        <f t="shared" si="18"/>
        <v>27.093219999999999</v>
      </c>
      <c r="H138" s="166"/>
      <c r="I138" s="160"/>
      <c r="J138" s="160"/>
      <c r="K138" s="160"/>
      <c r="L138" s="166">
        <v>17.286380000000001</v>
      </c>
      <c r="M138" s="165">
        <v>27.093219999999999</v>
      </c>
      <c r="N138" s="165"/>
      <c r="O138" s="165"/>
      <c r="P138" s="160"/>
      <c r="Q138" s="166"/>
      <c r="R138" s="165"/>
      <c r="S138" s="165"/>
      <c r="T138" s="159"/>
      <c r="U138" s="160"/>
      <c r="V138" s="165"/>
      <c r="W138" s="165"/>
      <c r="X138" s="160"/>
      <c r="Y138" s="166"/>
      <c r="Z138" s="160"/>
      <c r="AA138" s="160"/>
      <c r="AB138" s="165"/>
      <c r="AC138" s="165"/>
      <c r="AD138" s="165"/>
      <c r="AE138" s="165"/>
      <c r="AF138" s="160"/>
      <c r="AG138" s="160"/>
      <c r="AH138" s="160"/>
      <c r="AI138" s="160"/>
      <c r="AJ138" s="161"/>
      <c r="AK138" s="162"/>
      <c r="AL138" s="165"/>
      <c r="AM138" s="166"/>
      <c r="AN138" s="165"/>
      <c r="AO138" s="160"/>
      <c r="AP138" s="162"/>
      <c r="AQ138" s="161"/>
      <c r="AR138" s="162"/>
      <c r="AS138" s="161"/>
      <c r="AT138" s="165"/>
      <c r="AU138" s="166"/>
      <c r="AV138" s="165"/>
      <c r="AW138" s="166"/>
      <c r="AX138" s="165"/>
      <c r="AY138" s="165"/>
      <c r="AZ138" s="165"/>
      <c r="BA138" s="165"/>
      <c r="BB138" s="166"/>
      <c r="BC138" s="165"/>
      <c r="BD138" s="165"/>
      <c r="BE138" s="165"/>
      <c r="BF138" s="165"/>
      <c r="BG138" s="165"/>
      <c r="BH138" s="165"/>
      <c r="BI138" s="165"/>
      <c r="BJ138" s="166"/>
      <c r="BK138" s="165"/>
      <c r="BL138" s="165"/>
      <c r="BM138" s="163"/>
      <c r="BN138" s="165"/>
      <c r="BO138" s="165"/>
      <c r="BP138" s="165"/>
      <c r="BQ138" s="167"/>
    </row>
    <row r="139" spans="1:270" ht="39.950000000000003" customHeight="1" outlineLevel="1" x14ac:dyDescent="0.3">
      <c r="A139" s="15" t="s">
        <v>154</v>
      </c>
      <c r="B139" s="14" t="s">
        <v>161</v>
      </c>
      <c r="C139" s="9" t="s">
        <v>6</v>
      </c>
      <c r="D139" s="66" t="s">
        <v>162</v>
      </c>
      <c r="E139" s="158">
        <f t="shared" si="16"/>
        <v>1674.7752300000002</v>
      </c>
      <c r="F139" s="159">
        <f t="shared" si="17"/>
        <v>36.072020000000002</v>
      </c>
      <c r="G139" s="160">
        <f t="shared" si="18"/>
        <v>1638.7032100000001</v>
      </c>
      <c r="H139" s="166"/>
      <c r="I139" s="160"/>
      <c r="J139" s="160"/>
      <c r="K139" s="160"/>
      <c r="L139" s="166">
        <v>36.072020000000002</v>
      </c>
      <c r="M139" s="165">
        <v>56.536270000000002</v>
      </c>
      <c r="N139" s="165"/>
      <c r="O139" s="165"/>
      <c r="P139" s="160"/>
      <c r="Q139" s="166"/>
      <c r="R139" s="165"/>
      <c r="S139" s="165"/>
      <c r="T139" s="159"/>
      <c r="U139" s="160"/>
      <c r="V139" s="165"/>
      <c r="W139" s="165"/>
      <c r="X139" s="160"/>
      <c r="Y139" s="166"/>
      <c r="Z139" s="160"/>
      <c r="AA139" s="160"/>
      <c r="AB139" s="165"/>
      <c r="AC139" s="165"/>
      <c r="AD139" s="165"/>
      <c r="AE139" s="165"/>
      <c r="AF139" s="160"/>
      <c r="AG139" s="160"/>
      <c r="AH139" s="160"/>
      <c r="AI139" s="160"/>
      <c r="AJ139" s="161"/>
      <c r="AK139" s="162"/>
      <c r="AL139" s="165"/>
      <c r="AM139" s="166"/>
      <c r="AN139" s="165"/>
      <c r="AO139" s="160"/>
      <c r="AP139" s="162"/>
      <c r="AQ139" s="161"/>
      <c r="AR139" s="162"/>
      <c r="AS139" s="161"/>
      <c r="AT139" s="165"/>
      <c r="AU139" s="166"/>
      <c r="AV139" s="165"/>
      <c r="AW139" s="166"/>
      <c r="AX139" s="165"/>
      <c r="AY139" s="165"/>
      <c r="AZ139" s="165"/>
      <c r="BA139" s="165"/>
      <c r="BB139" s="166"/>
      <c r="BC139" s="165"/>
      <c r="BD139" s="165"/>
      <c r="BE139" s="165">
        <v>1582.1669400000001</v>
      </c>
      <c r="BF139" s="165"/>
      <c r="BG139" s="165"/>
      <c r="BH139" s="165"/>
      <c r="BI139" s="165"/>
      <c r="BJ139" s="166"/>
      <c r="BK139" s="165"/>
      <c r="BL139" s="165"/>
      <c r="BM139" s="163"/>
      <c r="BN139" s="165"/>
      <c r="BO139" s="165"/>
      <c r="BP139" s="165"/>
      <c r="BQ139" s="167"/>
    </row>
    <row r="140" spans="1:270" s="34" customFormat="1" ht="39.950000000000003" customHeight="1" x14ac:dyDescent="0.3">
      <c r="A140" s="118" t="s">
        <v>210</v>
      </c>
      <c r="B140" s="120"/>
      <c r="C140" s="116" t="s">
        <v>80</v>
      </c>
      <c r="D140" s="117"/>
      <c r="E140" s="173">
        <f t="shared" ref="E140:AI140" si="19">SUBTOTAL(9,E101:E139)</f>
        <v>86327.874859999996</v>
      </c>
      <c r="F140" s="173">
        <f t="shared" si="19"/>
        <v>9799.1932899999993</v>
      </c>
      <c r="G140" s="173">
        <f t="shared" si="19"/>
        <v>76528.681570000001</v>
      </c>
      <c r="H140" s="173">
        <f t="shared" si="19"/>
        <v>1336.6291899999999</v>
      </c>
      <c r="I140" s="173">
        <f t="shared" si="19"/>
        <v>445.54306000000003</v>
      </c>
      <c r="J140" s="173">
        <f t="shared" si="19"/>
        <v>21.45</v>
      </c>
      <c r="K140" s="173">
        <f t="shared" si="19"/>
        <v>0</v>
      </c>
      <c r="L140" s="173">
        <f t="shared" si="19"/>
        <v>2118.2332000000001</v>
      </c>
      <c r="M140" s="173">
        <f t="shared" si="19"/>
        <v>3319.9420399999999</v>
      </c>
      <c r="N140" s="173">
        <f t="shared" si="19"/>
        <v>0</v>
      </c>
      <c r="O140" s="173">
        <f>SUBTOTAL(9,O101:O139)</f>
        <v>0</v>
      </c>
      <c r="P140" s="173">
        <f>SUBTOTAL(9,P101:P139)</f>
        <v>0</v>
      </c>
      <c r="Q140" s="173">
        <f t="shared" si="19"/>
        <v>0</v>
      </c>
      <c r="R140" s="173">
        <f t="shared" si="19"/>
        <v>0</v>
      </c>
      <c r="S140" s="173">
        <f t="shared" si="19"/>
        <v>0</v>
      </c>
      <c r="T140" s="173">
        <f>SUBTOTAL(9,T101:T139)</f>
        <v>0</v>
      </c>
      <c r="U140" s="173">
        <f>SUBTOTAL(9,U101:U139)</f>
        <v>0</v>
      </c>
      <c r="V140" s="173">
        <f t="shared" si="19"/>
        <v>0</v>
      </c>
      <c r="W140" s="173">
        <f t="shared" si="19"/>
        <v>848.6400000000001</v>
      </c>
      <c r="X140" s="173">
        <f>SUBTOTAL(9,X101:X139)</f>
        <v>0</v>
      </c>
      <c r="Y140" s="173">
        <f t="shared" si="19"/>
        <v>675.57434999999998</v>
      </c>
      <c r="Z140" s="173">
        <f t="shared" si="19"/>
        <v>225.19145</v>
      </c>
      <c r="AA140" s="173">
        <f t="shared" si="19"/>
        <v>3043.6509599999999</v>
      </c>
      <c r="AB140" s="173">
        <f t="shared" si="19"/>
        <v>0</v>
      </c>
      <c r="AC140" s="173">
        <f t="shared" si="19"/>
        <v>32046.276600000001</v>
      </c>
      <c r="AD140" s="173">
        <f>SUBTOTAL(9,AD101:AD139)</f>
        <v>10000</v>
      </c>
      <c r="AE140" s="173">
        <f t="shared" si="19"/>
        <v>0</v>
      </c>
      <c r="AF140" s="173">
        <f t="shared" si="19"/>
        <v>0</v>
      </c>
      <c r="AG140" s="173">
        <f t="shared" si="19"/>
        <v>1469.2218700000001</v>
      </c>
      <c r="AH140" s="173">
        <f t="shared" si="19"/>
        <v>0</v>
      </c>
      <c r="AI140" s="173">
        <f t="shared" si="19"/>
        <v>552.01301999999998</v>
      </c>
      <c r="AJ140" s="173">
        <f t="shared" ref="AJ140:BQ140" si="20">SUBTOTAL(9,AJ101:AJ139)</f>
        <v>5998.25</v>
      </c>
      <c r="AK140" s="173">
        <f t="shared" si="20"/>
        <v>0</v>
      </c>
      <c r="AL140" s="173">
        <f t="shared" si="20"/>
        <v>0</v>
      </c>
      <c r="AM140" s="173">
        <f>SUBTOTAL(9,AM101:AM139)</f>
        <v>0</v>
      </c>
      <c r="AN140" s="173">
        <f>SUBTOTAL(9,AN101:AN139)</f>
        <v>0</v>
      </c>
      <c r="AO140" s="173">
        <f>SUBTOTAL(9,AO101:AO139)</f>
        <v>0</v>
      </c>
      <c r="AP140" s="173">
        <f t="shared" si="20"/>
        <v>0</v>
      </c>
      <c r="AQ140" s="173">
        <f t="shared" si="20"/>
        <v>0</v>
      </c>
      <c r="AR140" s="173">
        <f t="shared" si="20"/>
        <v>278.45877000000002</v>
      </c>
      <c r="AS140" s="173">
        <f t="shared" si="20"/>
        <v>14.65573</v>
      </c>
      <c r="AT140" s="173">
        <f>SUBTOTAL(9,AT101:AT139)</f>
        <v>0</v>
      </c>
      <c r="AU140" s="173">
        <f t="shared" si="20"/>
        <v>0</v>
      </c>
      <c r="AV140" s="173">
        <f t="shared" si="20"/>
        <v>0</v>
      </c>
      <c r="AW140" s="173">
        <f t="shared" si="20"/>
        <v>7.2977800000000004</v>
      </c>
      <c r="AX140" s="173">
        <f t="shared" si="20"/>
        <v>2.9191200000000004</v>
      </c>
      <c r="AY140" s="173">
        <f t="shared" si="20"/>
        <v>0</v>
      </c>
      <c r="AZ140" s="173">
        <f t="shared" si="20"/>
        <v>0</v>
      </c>
      <c r="BA140" s="173">
        <f t="shared" si="20"/>
        <v>0</v>
      </c>
      <c r="BB140" s="173">
        <f t="shared" si="20"/>
        <v>0</v>
      </c>
      <c r="BC140" s="173">
        <f t="shared" si="20"/>
        <v>0</v>
      </c>
      <c r="BD140" s="173">
        <f t="shared" si="20"/>
        <v>0</v>
      </c>
      <c r="BE140" s="173">
        <f t="shared" si="20"/>
        <v>2714.7263600000001</v>
      </c>
      <c r="BF140" s="173">
        <f t="shared" si="20"/>
        <v>5045.3029699999997</v>
      </c>
      <c r="BG140" s="173">
        <f t="shared" si="20"/>
        <v>274.66645</v>
      </c>
      <c r="BH140" s="173">
        <f t="shared" si="20"/>
        <v>0</v>
      </c>
      <c r="BI140" s="173">
        <f t="shared" si="20"/>
        <v>0</v>
      </c>
      <c r="BJ140" s="173">
        <f t="shared" si="20"/>
        <v>5383</v>
      </c>
      <c r="BK140" s="173">
        <f t="shared" si="20"/>
        <v>7918.2107800000003</v>
      </c>
      <c r="BL140" s="173">
        <f t="shared" si="20"/>
        <v>875</v>
      </c>
      <c r="BM140" s="174">
        <f>SUBTOTAL(9,BM101:BM139)</f>
        <v>0</v>
      </c>
      <c r="BN140" s="173">
        <f t="shared" si="20"/>
        <v>0</v>
      </c>
      <c r="BO140" s="173">
        <f t="shared" si="20"/>
        <v>1713.02116</v>
      </c>
      <c r="BP140" s="173">
        <f t="shared" si="20"/>
        <v>0</v>
      </c>
      <c r="BQ140" s="174">
        <f t="shared" si="20"/>
        <v>0</v>
      </c>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c r="DV140" s="40"/>
      <c r="DW140" s="40"/>
      <c r="DX140" s="40"/>
      <c r="DY140" s="40"/>
      <c r="DZ140" s="40"/>
      <c r="EA140" s="40"/>
      <c r="EB140" s="40"/>
      <c r="EC140" s="40"/>
      <c r="ED140" s="40"/>
      <c r="EE140" s="40"/>
      <c r="EF140" s="40"/>
      <c r="EG140" s="40"/>
      <c r="EH140" s="40"/>
      <c r="EI140" s="40"/>
      <c r="EJ140" s="40"/>
      <c r="EK140" s="40"/>
      <c r="EL140" s="40"/>
      <c r="EM140" s="40"/>
      <c r="EN140" s="40"/>
      <c r="EO140" s="40"/>
      <c r="EP140" s="40"/>
      <c r="EQ140" s="40"/>
      <c r="ER140" s="40"/>
      <c r="ES140" s="40"/>
      <c r="ET140" s="40"/>
      <c r="EU140" s="40"/>
      <c r="EV140" s="40"/>
      <c r="EW140" s="40"/>
      <c r="EX140" s="40"/>
      <c r="EY140" s="40"/>
      <c r="EZ140" s="40"/>
      <c r="FA140" s="40"/>
      <c r="FB140" s="40"/>
      <c r="FC140" s="40"/>
      <c r="FD140" s="40"/>
      <c r="FE140" s="40"/>
      <c r="FF140" s="40"/>
      <c r="FG140" s="40"/>
      <c r="FH140" s="40"/>
      <c r="FI140" s="40"/>
      <c r="FJ140" s="40"/>
      <c r="FK140" s="40"/>
      <c r="FL140" s="40"/>
      <c r="FM140" s="40"/>
      <c r="FN140" s="40"/>
      <c r="FO140" s="40"/>
      <c r="FP140" s="40"/>
      <c r="FQ140" s="40"/>
      <c r="FR140" s="40"/>
      <c r="FS140" s="40"/>
      <c r="FT140" s="40"/>
      <c r="FU140" s="40"/>
      <c r="FV140" s="40"/>
      <c r="FW140" s="40"/>
      <c r="FX140" s="40"/>
      <c r="FY140" s="40"/>
      <c r="FZ140" s="40"/>
      <c r="GA140" s="40"/>
      <c r="GB140" s="40"/>
      <c r="GC140" s="40"/>
      <c r="GD140" s="40"/>
      <c r="GE140" s="40"/>
      <c r="GF140" s="40"/>
      <c r="GG140" s="40"/>
      <c r="GH140" s="40"/>
      <c r="GI140" s="40"/>
      <c r="GJ140" s="40"/>
      <c r="GK140" s="40"/>
      <c r="GL140" s="40"/>
      <c r="GM140" s="40"/>
      <c r="GN140" s="40"/>
      <c r="GO140" s="40"/>
      <c r="GP140" s="40"/>
      <c r="GQ140" s="40"/>
      <c r="GR140" s="40"/>
      <c r="GS140" s="40"/>
      <c r="GT140" s="40"/>
      <c r="GU140" s="40"/>
      <c r="GV140" s="40"/>
      <c r="GW140" s="40"/>
      <c r="GX140" s="40"/>
      <c r="GY140" s="40"/>
      <c r="GZ140" s="40"/>
      <c r="HA140" s="40"/>
      <c r="HB140" s="40"/>
      <c r="HC140" s="40"/>
      <c r="HD140" s="40"/>
      <c r="HE140" s="40"/>
      <c r="HF140" s="40"/>
      <c r="HG140" s="40"/>
      <c r="HH140" s="40"/>
      <c r="HI140" s="40"/>
      <c r="HJ140" s="40"/>
      <c r="HK140" s="40"/>
      <c r="HL140" s="40"/>
      <c r="HM140" s="40"/>
      <c r="HN140" s="40"/>
      <c r="HO140" s="40"/>
      <c r="HP140" s="40"/>
      <c r="HQ140" s="40"/>
      <c r="HR140" s="40"/>
      <c r="HS140" s="40"/>
      <c r="HT140" s="40"/>
      <c r="HU140" s="40"/>
      <c r="HV140" s="40"/>
      <c r="HW140" s="40"/>
      <c r="HX140" s="40"/>
      <c r="HY140" s="40"/>
      <c r="HZ140" s="40"/>
      <c r="IA140" s="40"/>
      <c r="IB140" s="40"/>
      <c r="IC140" s="40"/>
      <c r="ID140" s="40"/>
      <c r="IE140" s="40"/>
      <c r="IF140" s="40"/>
      <c r="IG140" s="40"/>
      <c r="IH140" s="40"/>
      <c r="II140" s="40"/>
      <c r="IJ140" s="40"/>
      <c r="IK140" s="40"/>
      <c r="IL140" s="40"/>
      <c r="IM140" s="40"/>
      <c r="IN140" s="40"/>
      <c r="IO140" s="40"/>
      <c r="IP140" s="40"/>
      <c r="IQ140" s="40"/>
      <c r="IR140" s="40"/>
      <c r="IS140" s="40"/>
      <c r="IT140" s="40"/>
      <c r="IU140" s="40"/>
      <c r="IV140" s="40"/>
      <c r="IW140" s="40"/>
      <c r="IX140" s="40"/>
      <c r="IY140" s="40"/>
      <c r="IZ140" s="40"/>
      <c r="JA140" s="40"/>
      <c r="JB140" s="40"/>
      <c r="JC140" s="40"/>
      <c r="JD140" s="40"/>
      <c r="JE140" s="40"/>
      <c r="JF140" s="40"/>
      <c r="JG140" s="40"/>
      <c r="JH140" s="40"/>
      <c r="JI140" s="40"/>
      <c r="JJ140" s="40"/>
    </row>
    <row r="141" spans="1:270" ht="39.950000000000003" customHeight="1" outlineLevel="1" x14ac:dyDescent="0.3">
      <c r="A141" s="15" t="s">
        <v>211</v>
      </c>
      <c r="B141" s="14" t="s">
        <v>1491</v>
      </c>
      <c r="C141" s="9" t="s">
        <v>30</v>
      </c>
      <c r="D141" s="66">
        <v>240500621543</v>
      </c>
      <c r="E141" s="158">
        <f t="shared" ref="E141:E154" si="21">F141+G141</f>
        <v>46.8</v>
      </c>
      <c r="F141" s="159">
        <f t="shared" ref="F141:F154" si="22">H141+L141+Q141+Y141+T141+AK141+AP141+AM141+AR141+AU141+AW141+BB141+BJ141</f>
        <v>0</v>
      </c>
      <c r="G141" s="160">
        <f t="shared" ref="G141:G154" si="23">I141+J141+K141+M141+N141+R141+S141+V141+W141+AD141+O141+X141+Z141+AA141+AB141+AC141+AE141+AF141+P141+U141+AG141+AH141+AI141+AO141+AJ141+AL141+AQ141+AN141+AS141+AV141+AX141+AY141+AZ141+BA141+BC141+BD141+BE141+BF141+BG141+BH141+BI141+AT141+BK141+BL141+BN141+BO141+BP141+BQ141+BM141</f>
        <v>46.8</v>
      </c>
      <c r="H141" s="162"/>
      <c r="I141" s="161"/>
      <c r="J141" s="161"/>
      <c r="K141" s="161"/>
      <c r="L141" s="162"/>
      <c r="M141" s="161"/>
      <c r="N141" s="161"/>
      <c r="O141" s="161"/>
      <c r="P141" s="160"/>
      <c r="Q141" s="162"/>
      <c r="R141" s="161"/>
      <c r="S141" s="160">
        <v>46.8</v>
      </c>
      <c r="T141" s="159"/>
      <c r="U141" s="160"/>
      <c r="V141" s="161"/>
      <c r="W141" s="160"/>
      <c r="X141" s="161"/>
      <c r="Y141" s="162"/>
      <c r="Z141" s="160"/>
      <c r="AA141" s="160"/>
      <c r="AB141" s="161"/>
      <c r="AC141" s="161"/>
      <c r="AD141" s="161"/>
      <c r="AE141" s="161"/>
      <c r="AF141" s="160"/>
      <c r="AG141" s="161"/>
      <c r="AH141" s="161"/>
      <c r="AI141" s="161"/>
      <c r="AJ141" s="161"/>
      <c r="AK141" s="162"/>
      <c r="AL141" s="165"/>
      <c r="AM141" s="166"/>
      <c r="AN141" s="165"/>
      <c r="AO141" s="161"/>
      <c r="AP141" s="162"/>
      <c r="AQ141" s="161"/>
      <c r="AR141" s="162"/>
      <c r="AS141" s="161"/>
      <c r="AT141" s="165"/>
      <c r="AU141" s="166"/>
      <c r="AV141" s="165"/>
      <c r="AW141" s="162"/>
      <c r="AX141" s="161"/>
      <c r="AY141" s="161"/>
      <c r="AZ141" s="161"/>
      <c r="BA141" s="161"/>
      <c r="BB141" s="162"/>
      <c r="BC141" s="161"/>
      <c r="BD141" s="161"/>
      <c r="BE141" s="161"/>
      <c r="BF141" s="161"/>
      <c r="BG141" s="161"/>
      <c r="BH141" s="161"/>
      <c r="BI141" s="161"/>
      <c r="BJ141" s="166"/>
      <c r="BK141" s="165"/>
      <c r="BL141" s="165"/>
      <c r="BM141" s="163"/>
      <c r="BN141" s="165"/>
      <c r="BO141" s="165"/>
      <c r="BP141" s="165"/>
      <c r="BQ141" s="167"/>
    </row>
    <row r="142" spans="1:270" ht="39.950000000000003" customHeight="1" outlineLevel="1" x14ac:dyDescent="0.3">
      <c r="A142" s="15" t="s">
        <v>211</v>
      </c>
      <c r="B142" s="14" t="s">
        <v>212</v>
      </c>
      <c r="C142" s="9" t="s">
        <v>30</v>
      </c>
      <c r="D142" s="66" t="s">
        <v>1170</v>
      </c>
      <c r="E142" s="158">
        <f t="shared" si="21"/>
        <v>158.08000000000001</v>
      </c>
      <c r="F142" s="159">
        <f t="shared" si="22"/>
        <v>0</v>
      </c>
      <c r="G142" s="160">
        <f t="shared" si="23"/>
        <v>158.08000000000001</v>
      </c>
      <c r="H142" s="162"/>
      <c r="I142" s="161"/>
      <c r="J142" s="161"/>
      <c r="K142" s="161"/>
      <c r="L142" s="162"/>
      <c r="M142" s="161"/>
      <c r="N142" s="161"/>
      <c r="O142" s="161"/>
      <c r="P142" s="160"/>
      <c r="Q142" s="162"/>
      <c r="R142" s="161"/>
      <c r="S142" s="161"/>
      <c r="T142" s="159"/>
      <c r="U142" s="160"/>
      <c r="V142" s="161"/>
      <c r="W142" s="160">
        <v>158.08000000000001</v>
      </c>
      <c r="X142" s="161"/>
      <c r="Y142" s="162"/>
      <c r="Z142" s="160"/>
      <c r="AA142" s="160"/>
      <c r="AB142" s="161"/>
      <c r="AC142" s="161"/>
      <c r="AD142" s="161"/>
      <c r="AE142" s="161"/>
      <c r="AF142" s="160"/>
      <c r="AG142" s="161"/>
      <c r="AH142" s="161"/>
      <c r="AI142" s="161"/>
      <c r="AJ142" s="161"/>
      <c r="AK142" s="162"/>
      <c r="AL142" s="165"/>
      <c r="AM142" s="166"/>
      <c r="AN142" s="165"/>
      <c r="AO142" s="161"/>
      <c r="AP142" s="162"/>
      <c r="AQ142" s="161"/>
      <c r="AR142" s="162"/>
      <c r="AS142" s="161"/>
      <c r="AT142" s="165"/>
      <c r="AU142" s="166"/>
      <c r="AV142" s="165"/>
      <c r="AW142" s="162"/>
      <c r="AX142" s="161"/>
      <c r="AY142" s="161"/>
      <c r="AZ142" s="161"/>
      <c r="BA142" s="161"/>
      <c r="BB142" s="162"/>
      <c r="BC142" s="161"/>
      <c r="BD142" s="161"/>
      <c r="BE142" s="161"/>
      <c r="BF142" s="161"/>
      <c r="BG142" s="161"/>
      <c r="BH142" s="161"/>
      <c r="BI142" s="161"/>
      <c r="BJ142" s="166"/>
      <c r="BK142" s="165"/>
      <c r="BL142" s="165"/>
      <c r="BM142" s="163"/>
      <c r="BN142" s="165"/>
      <c r="BO142" s="165"/>
      <c r="BP142" s="165"/>
      <c r="BQ142" s="167"/>
    </row>
    <row r="143" spans="1:270" ht="39.950000000000003" customHeight="1" outlineLevel="1" x14ac:dyDescent="0.3">
      <c r="A143" s="15" t="s">
        <v>211</v>
      </c>
      <c r="B143" s="14" t="s">
        <v>213</v>
      </c>
      <c r="C143" s="9" t="s">
        <v>30</v>
      </c>
      <c r="D143" s="66" t="s">
        <v>1171</v>
      </c>
      <c r="E143" s="158">
        <f t="shared" si="21"/>
        <v>373.54</v>
      </c>
      <c r="F143" s="159">
        <f t="shared" si="22"/>
        <v>0</v>
      </c>
      <c r="G143" s="160">
        <f t="shared" si="23"/>
        <v>373.54</v>
      </c>
      <c r="H143" s="166"/>
      <c r="I143" s="165"/>
      <c r="J143" s="160"/>
      <c r="K143" s="160"/>
      <c r="L143" s="166"/>
      <c r="M143" s="165"/>
      <c r="N143" s="165"/>
      <c r="O143" s="165"/>
      <c r="P143" s="160"/>
      <c r="Q143" s="166"/>
      <c r="R143" s="165"/>
      <c r="S143" s="165">
        <v>40.74</v>
      </c>
      <c r="T143" s="159"/>
      <c r="U143" s="160"/>
      <c r="V143" s="165"/>
      <c r="W143" s="165">
        <v>332.8</v>
      </c>
      <c r="X143" s="160"/>
      <c r="Y143" s="166"/>
      <c r="Z143" s="160"/>
      <c r="AA143" s="160"/>
      <c r="AB143" s="165"/>
      <c r="AC143" s="165"/>
      <c r="AD143" s="165"/>
      <c r="AE143" s="165"/>
      <c r="AF143" s="160"/>
      <c r="AG143" s="160"/>
      <c r="AH143" s="160"/>
      <c r="AI143" s="160"/>
      <c r="AJ143" s="161"/>
      <c r="AK143" s="162"/>
      <c r="AL143" s="165"/>
      <c r="AM143" s="166"/>
      <c r="AN143" s="165"/>
      <c r="AO143" s="160"/>
      <c r="AP143" s="162"/>
      <c r="AQ143" s="161"/>
      <c r="AR143" s="162"/>
      <c r="AS143" s="161"/>
      <c r="AT143" s="165"/>
      <c r="AU143" s="166"/>
      <c r="AV143" s="165"/>
      <c r="AW143" s="166"/>
      <c r="AX143" s="165"/>
      <c r="AY143" s="165"/>
      <c r="AZ143" s="165"/>
      <c r="BA143" s="165"/>
      <c r="BB143" s="166"/>
      <c r="BC143" s="165"/>
      <c r="BD143" s="165"/>
      <c r="BE143" s="165"/>
      <c r="BF143" s="165"/>
      <c r="BG143" s="165"/>
      <c r="BH143" s="165"/>
      <c r="BI143" s="165"/>
      <c r="BJ143" s="166"/>
      <c r="BK143" s="165"/>
      <c r="BL143" s="165"/>
      <c r="BM143" s="163"/>
      <c r="BN143" s="165"/>
      <c r="BO143" s="165"/>
      <c r="BP143" s="165"/>
      <c r="BQ143" s="167"/>
    </row>
    <row r="144" spans="1:270" ht="39.950000000000003" customHeight="1" outlineLevel="1" x14ac:dyDescent="0.3">
      <c r="A144" s="15" t="s">
        <v>211</v>
      </c>
      <c r="B144" s="14" t="s">
        <v>1346</v>
      </c>
      <c r="C144" s="9" t="s">
        <v>30</v>
      </c>
      <c r="D144" s="66">
        <v>240500015535</v>
      </c>
      <c r="E144" s="158">
        <f t="shared" si="21"/>
        <v>70.980240000000009</v>
      </c>
      <c r="F144" s="159">
        <f t="shared" si="22"/>
        <v>3.5310000000000001</v>
      </c>
      <c r="G144" s="160">
        <f t="shared" si="23"/>
        <v>67.449240000000003</v>
      </c>
      <c r="H144" s="166"/>
      <c r="I144" s="165"/>
      <c r="J144" s="160"/>
      <c r="K144" s="160"/>
      <c r="L144" s="166"/>
      <c r="M144" s="165"/>
      <c r="N144" s="165"/>
      <c r="O144" s="165"/>
      <c r="P144" s="160"/>
      <c r="Q144" s="166"/>
      <c r="R144" s="165"/>
      <c r="S144" s="165"/>
      <c r="T144" s="159"/>
      <c r="U144" s="160"/>
      <c r="V144" s="165"/>
      <c r="W144" s="165"/>
      <c r="X144" s="160"/>
      <c r="Y144" s="166">
        <v>3.5310000000000001</v>
      </c>
      <c r="Z144" s="160">
        <v>1.177</v>
      </c>
      <c r="AA144" s="160">
        <v>66.272239999999996</v>
      </c>
      <c r="AB144" s="165"/>
      <c r="AC144" s="165"/>
      <c r="AD144" s="165"/>
      <c r="AE144" s="165"/>
      <c r="AF144" s="160"/>
      <c r="AG144" s="160"/>
      <c r="AH144" s="160"/>
      <c r="AI144" s="160"/>
      <c r="AJ144" s="161"/>
      <c r="AK144" s="162"/>
      <c r="AL144" s="165"/>
      <c r="AM144" s="166"/>
      <c r="AN144" s="165"/>
      <c r="AO144" s="160"/>
      <c r="AP144" s="162"/>
      <c r="AQ144" s="161"/>
      <c r="AR144" s="162"/>
      <c r="AS144" s="161"/>
      <c r="AT144" s="165"/>
      <c r="AU144" s="166"/>
      <c r="AV144" s="165"/>
      <c r="AW144" s="166"/>
      <c r="AX144" s="165"/>
      <c r="AY144" s="165"/>
      <c r="AZ144" s="165"/>
      <c r="BA144" s="165"/>
      <c r="BB144" s="166"/>
      <c r="BC144" s="165"/>
      <c r="BD144" s="165"/>
      <c r="BE144" s="165"/>
      <c r="BF144" s="165"/>
      <c r="BG144" s="165"/>
      <c r="BH144" s="165"/>
      <c r="BI144" s="165"/>
      <c r="BJ144" s="166"/>
      <c r="BK144" s="165"/>
      <c r="BL144" s="165"/>
      <c r="BM144" s="163"/>
      <c r="BN144" s="165"/>
      <c r="BO144" s="165"/>
      <c r="BP144" s="165"/>
      <c r="BQ144" s="167"/>
    </row>
    <row r="145" spans="1:270" ht="39.950000000000003" customHeight="1" outlineLevel="1" x14ac:dyDescent="0.3">
      <c r="A145" s="15" t="s">
        <v>211</v>
      </c>
      <c r="B145" s="14" t="s">
        <v>216</v>
      </c>
      <c r="C145" s="9" t="s">
        <v>30</v>
      </c>
      <c r="D145" s="66" t="s">
        <v>217</v>
      </c>
      <c r="E145" s="158">
        <f t="shared" si="21"/>
        <v>424</v>
      </c>
      <c r="F145" s="159">
        <f t="shared" si="22"/>
        <v>0</v>
      </c>
      <c r="G145" s="160">
        <f t="shared" si="23"/>
        <v>424</v>
      </c>
      <c r="H145" s="166"/>
      <c r="I145" s="165"/>
      <c r="J145" s="160"/>
      <c r="K145" s="160"/>
      <c r="L145" s="166"/>
      <c r="M145" s="165"/>
      <c r="N145" s="165"/>
      <c r="O145" s="165"/>
      <c r="P145" s="160"/>
      <c r="Q145" s="166"/>
      <c r="R145" s="165"/>
      <c r="S145" s="165">
        <v>49.6</v>
      </c>
      <c r="T145" s="159"/>
      <c r="U145" s="160"/>
      <c r="V145" s="165"/>
      <c r="W145" s="165">
        <v>374.4</v>
      </c>
      <c r="X145" s="160"/>
      <c r="Y145" s="166"/>
      <c r="Z145" s="160"/>
      <c r="AA145" s="160"/>
      <c r="AB145" s="165"/>
      <c r="AC145" s="165"/>
      <c r="AD145" s="165"/>
      <c r="AE145" s="165"/>
      <c r="AF145" s="160"/>
      <c r="AG145" s="160"/>
      <c r="AH145" s="160"/>
      <c r="AI145" s="160"/>
      <c r="AJ145" s="161"/>
      <c r="AK145" s="162"/>
      <c r="AL145" s="165"/>
      <c r="AM145" s="166"/>
      <c r="AN145" s="165"/>
      <c r="AO145" s="160"/>
      <c r="AP145" s="162"/>
      <c r="AQ145" s="161"/>
      <c r="AR145" s="162"/>
      <c r="AS145" s="161"/>
      <c r="AT145" s="165"/>
      <c r="AU145" s="166"/>
      <c r="AV145" s="165"/>
      <c r="AW145" s="166"/>
      <c r="AX145" s="165"/>
      <c r="AY145" s="165"/>
      <c r="AZ145" s="165"/>
      <c r="BA145" s="165"/>
      <c r="BB145" s="166"/>
      <c r="BC145" s="165"/>
      <c r="BD145" s="165"/>
      <c r="BE145" s="165"/>
      <c r="BF145" s="165"/>
      <c r="BG145" s="165"/>
      <c r="BH145" s="165"/>
      <c r="BI145" s="165"/>
      <c r="BJ145" s="166"/>
      <c r="BK145" s="165"/>
      <c r="BL145" s="165"/>
      <c r="BM145" s="163"/>
      <c r="BN145" s="165"/>
      <c r="BO145" s="165"/>
      <c r="BP145" s="165"/>
      <c r="BQ145" s="167"/>
    </row>
    <row r="146" spans="1:270" ht="39.950000000000003" customHeight="1" outlineLevel="1" x14ac:dyDescent="0.3">
      <c r="A146" s="15" t="s">
        <v>211</v>
      </c>
      <c r="B146" s="14" t="s">
        <v>1537</v>
      </c>
      <c r="C146" s="9" t="s">
        <v>30</v>
      </c>
      <c r="D146" s="66">
        <v>240500613126</v>
      </c>
      <c r="E146" s="158">
        <f t="shared" si="21"/>
        <v>3000</v>
      </c>
      <c r="F146" s="159">
        <f t="shared" si="22"/>
        <v>2850</v>
      </c>
      <c r="G146" s="160">
        <f t="shared" si="23"/>
        <v>150</v>
      </c>
      <c r="H146" s="166"/>
      <c r="I146" s="165"/>
      <c r="J146" s="160"/>
      <c r="K146" s="160"/>
      <c r="L146" s="166"/>
      <c r="M146" s="165"/>
      <c r="N146" s="165"/>
      <c r="O146" s="165"/>
      <c r="P146" s="160"/>
      <c r="Q146" s="166"/>
      <c r="R146" s="165"/>
      <c r="S146" s="165"/>
      <c r="T146" s="159"/>
      <c r="U146" s="160"/>
      <c r="V146" s="165"/>
      <c r="W146" s="165"/>
      <c r="X146" s="160"/>
      <c r="Y146" s="166"/>
      <c r="Z146" s="160"/>
      <c r="AA146" s="160"/>
      <c r="AB146" s="165"/>
      <c r="AC146" s="165"/>
      <c r="AD146" s="165"/>
      <c r="AE146" s="165"/>
      <c r="AF146" s="160"/>
      <c r="AG146" s="160"/>
      <c r="AH146" s="160"/>
      <c r="AI146" s="160"/>
      <c r="AJ146" s="161"/>
      <c r="AK146" s="162"/>
      <c r="AL146" s="165"/>
      <c r="AM146" s="166">
        <v>2850</v>
      </c>
      <c r="AN146" s="165">
        <v>150</v>
      </c>
      <c r="AO146" s="160"/>
      <c r="AP146" s="162"/>
      <c r="AQ146" s="161"/>
      <c r="AR146" s="162"/>
      <c r="AS146" s="161"/>
      <c r="AT146" s="165"/>
      <c r="AU146" s="166"/>
      <c r="AV146" s="165"/>
      <c r="AW146" s="166"/>
      <c r="AX146" s="165"/>
      <c r="AY146" s="165"/>
      <c r="AZ146" s="165"/>
      <c r="BA146" s="165"/>
      <c r="BB146" s="166"/>
      <c r="BC146" s="165"/>
      <c r="BD146" s="165"/>
      <c r="BE146" s="165"/>
      <c r="BF146" s="165"/>
      <c r="BG146" s="165"/>
      <c r="BH146" s="165"/>
      <c r="BI146" s="165"/>
      <c r="BJ146" s="166"/>
      <c r="BK146" s="165"/>
      <c r="BL146" s="165"/>
      <c r="BM146" s="163"/>
      <c r="BN146" s="165"/>
      <c r="BO146" s="165"/>
      <c r="BP146" s="165"/>
      <c r="BQ146" s="167"/>
    </row>
    <row r="147" spans="1:270" ht="39.950000000000003" customHeight="1" outlineLevel="1" x14ac:dyDescent="0.3">
      <c r="A147" s="15" t="s">
        <v>211</v>
      </c>
      <c r="B147" s="14" t="s">
        <v>214</v>
      </c>
      <c r="C147" s="9" t="s">
        <v>30</v>
      </c>
      <c r="D147" s="66" t="s">
        <v>215</v>
      </c>
      <c r="E147" s="158">
        <f t="shared" si="21"/>
        <v>96.32</v>
      </c>
      <c r="F147" s="159">
        <f t="shared" si="22"/>
        <v>0</v>
      </c>
      <c r="G147" s="160">
        <f t="shared" si="23"/>
        <v>96.32</v>
      </c>
      <c r="H147" s="166"/>
      <c r="I147" s="165"/>
      <c r="J147" s="160"/>
      <c r="K147" s="160"/>
      <c r="L147" s="166"/>
      <c r="M147" s="165"/>
      <c r="N147" s="165"/>
      <c r="O147" s="165"/>
      <c r="P147" s="160"/>
      <c r="Q147" s="166"/>
      <c r="R147" s="165"/>
      <c r="S147" s="165">
        <v>46.4</v>
      </c>
      <c r="T147" s="159"/>
      <c r="U147" s="160"/>
      <c r="V147" s="165"/>
      <c r="W147" s="165">
        <v>49.92</v>
      </c>
      <c r="X147" s="160"/>
      <c r="Y147" s="166"/>
      <c r="Z147" s="160"/>
      <c r="AA147" s="160"/>
      <c r="AB147" s="165"/>
      <c r="AC147" s="165"/>
      <c r="AD147" s="165"/>
      <c r="AE147" s="165"/>
      <c r="AF147" s="160"/>
      <c r="AG147" s="160"/>
      <c r="AH147" s="160"/>
      <c r="AI147" s="160"/>
      <c r="AJ147" s="161"/>
      <c r="AK147" s="162"/>
      <c r="AL147" s="165"/>
      <c r="AM147" s="166"/>
      <c r="AN147" s="165"/>
      <c r="AO147" s="160"/>
      <c r="AP147" s="162"/>
      <c r="AQ147" s="161"/>
      <c r="AR147" s="162"/>
      <c r="AS147" s="161"/>
      <c r="AT147" s="165"/>
      <c r="AU147" s="166"/>
      <c r="AV147" s="165"/>
      <c r="AW147" s="166"/>
      <c r="AX147" s="165"/>
      <c r="AY147" s="165"/>
      <c r="AZ147" s="165"/>
      <c r="BA147" s="165"/>
      <c r="BB147" s="166"/>
      <c r="BC147" s="165"/>
      <c r="BD147" s="165"/>
      <c r="BE147" s="165"/>
      <c r="BF147" s="165"/>
      <c r="BG147" s="165"/>
      <c r="BH147" s="165"/>
      <c r="BI147" s="165"/>
      <c r="BJ147" s="166"/>
      <c r="BK147" s="165"/>
      <c r="BL147" s="165"/>
      <c r="BM147" s="163"/>
      <c r="BN147" s="165"/>
      <c r="BO147" s="165"/>
      <c r="BP147" s="165"/>
      <c r="BQ147" s="167"/>
    </row>
    <row r="148" spans="1:270" ht="39.950000000000003" customHeight="1" outlineLevel="1" x14ac:dyDescent="0.3">
      <c r="A148" s="15" t="s">
        <v>211</v>
      </c>
      <c r="B148" s="14" t="s">
        <v>1536</v>
      </c>
      <c r="C148" s="9" t="s">
        <v>30</v>
      </c>
      <c r="D148" s="66">
        <v>240501223898</v>
      </c>
      <c r="E148" s="158">
        <f t="shared" si="21"/>
        <v>3000</v>
      </c>
      <c r="F148" s="159">
        <f t="shared" si="22"/>
        <v>2850</v>
      </c>
      <c r="G148" s="160">
        <f t="shared" si="23"/>
        <v>150</v>
      </c>
      <c r="H148" s="166"/>
      <c r="I148" s="165"/>
      <c r="J148" s="160"/>
      <c r="K148" s="160"/>
      <c r="L148" s="166"/>
      <c r="M148" s="165"/>
      <c r="N148" s="165"/>
      <c r="O148" s="165"/>
      <c r="P148" s="160"/>
      <c r="Q148" s="166"/>
      <c r="R148" s="165"/>
      <c r="S148" s="165"/>
      <c r="T148" s="159"/>
      <c r="U148" s="160"/>
      <c r="V148" s="165"/>
      <c r="W148" s="165"/>
      <c r="X148" s="160"/>
      <c r="Y148" s="166"/>
      <c r="Z148" s="160"/>
      <c r="AA148" s="160"/>
      <c r="AB148" s="165"/>
      <c r="AC148" s="165"/>
      <c r="AD148" s="165"/>
      <c r="AE148" s="165"/>
      <c r="AF148" s="160"/>
      <c r="AG148" s="160"/>
      <c r="AH148" s="160"/>
      <c r="AI148" s="160"/>
      <c r="AJ148" s="161"/>
      <c r="AK148" s="162"/>
      <c r="AL148" s="165"/>
      <c r="AM148" s="166">
        <v>2850</v>
      </c>
      <c r="AN148" s="165">
        <v>150</v>
      </c>
      <c r="AO148" s="160"/>
      <c r="AP148" s="162"/>
      <c r="AQ148" s="161"/>
      <c r="AR148" s="162"/>
      <c r="AS148" s="161"/>
      <c r="AT148" s="165"/>
      <c r="AU148" s="166"/>
      <c r="AV148" s="165"/>
      <c r="AW148" s="166"/>
      <c r="AX148" s="165"/>
      <c r="AY148" s="165"/>
      <c r="AZ148" s="165"/>
      <c r="BA148" s="165"/>
      <c r="BB148" s="166"/>
      <c r="BC148" s="165"/>
      <c r="BD148" s="165"/>
      <c r="BE148" s="165"/>
      <c r="BF148" s="165"/>
      <c r="BG148" s="165"/>
      <c r="BH148" s="165"/>
      <c r="BI148" s="165"/>
      <c r="BJ148" s="166"/>
      <c r="BK148" s="165"/>
      <c r="BL148" s="165"/>
      <c r="BM148" s="163"/>
      <c r="BN148" s="165"/>
      <c r="BO148" s="165"/>
      <c r="BP148" s="165"/>
      <c r="BQ148" s="167"/>
    </row>
    <row r="149" spans="1:270" ht="39.950000000000003" customHeight="1" outlineLevel="1" x14ac:dyDescent="0.3">
      <c r="A149" s="15" t="s">
        <v>211</v>
      </c>
      <c r="B149" s="14" t="s">
        <v>218</v>
      </c>
      <c r="C149" s="9" t="s">
        <v>30</v>
      </c>
      <c r="D149" s="66">
        <v>240500265334</v>
      </c>
      <c r="E149" s="158">
        <f t="shared" si="21"/>
        <v>219.72</v>
      </c>
      <c r="F149" s="159">
        <f t="shared" si="22"/>
        <v>0</v>
      </c>
      <c r="G149" s="160">
        <f t="shared" si="23"/>
        <v>219.72</v>
      </c>
      <c r="H149" s="166"/>
      <c r="I149" s="165"/>
      <c r="J149" s="160"/>
      <c r="K149" s="160"/>
      <c r="L149" s="166"/>
      <c r="M149" s="165"/>
      <c r="N149" s="165"/>
      <c r="O149" s="165"/>
      <c r="P149" s="160"/>
      <c r="Q149" s="166"/>
      <c r="R149" s="165"/>
      <c r="S149" s="165">
        <v>45</v>
      </c>
      <c r="T149" s="159"/>
      <c r="U149" s="160"/>
      <c r="V149" s="165"/>
      <c r="W149" s="165">
        <v>174.72</v>
      </c>
      <c r="X149" s="160"/>
      <c r="Y149" s="166"/>
      <c r="Z149" s="160"/>
      <c r="AA149" s="160"/>
      <c r="AB149" s="165"/>
      <c r="AC149" s="165"/>
      <c r="AD149" s="165"/>
      <c r="AE149" s="165"/>
      <c r="AF149" s="160"/>
      <c r="AG149" s="160"/>
      <c r="AH149" s="160"/>
      <c r="AI149" s="160"/>
      <c r="AJ149" s="161"/>
      <c r="AK149" s="162"/>
      <c r="AL149" s="165"/>
      <c r="AM149" s="166"/>
      <c r="AN149" s="165"/>
      <c r="AO149" s="160"/>
      <c r="AP149" s="162"/>
      <c r="AQ149" s="161"/>
      <c r="AR149" s="162"/>
      <c r="AS149" s="161"/>
      <c r="AT149" s="165"/>
      <c r="AU149" s="166"/>
      <c r="AV149" s="165"/>
      <c r="AW149" s="166"/>
      <c r="AX149" s="165"/>
      <c r="AY149" s="165"/>
      <c r="AZ149" s="165"/>
      <c r="BA149" s="165"/>
      <c r="BB149" s="166"/>
      <c r="BC149" s="165"/>
      <c r="BD149" s="165"/>
      <c r="BE149" s="165"/>
      <c r="BF149" s="165"/>
      <c r="BG149" s="165"/>
      <c r="BH149" s="165"/>
      <c r="BI149" s="165"/>
      <c r="BJ149" s="166"/>
      <c r="BK149" s="165"/>
      <c r="BL149" s="165"/>
      <c r="BM149" s="163"/>
      <c r="BN149" s="165"/>
      <c r="BO149" s="165"/>
      <c r="BP149" s="165"/>
      <c r="BQ149" s="167"/>
    </row>
    <row r="150" spans="1:270" ht="39.950000000000003" customHeight="1" outlineLevel="1" x14ac:dyDescent="0.3">
      <c r="A150" s="15" t="s">
        <v>211</v>
      </c>
      <c r="B150" s="14" t="s">
        <v>219</v>
      </c>
      <c r="C150" s="9" t="s">
        <v>30</v>
      </c>
      <c r="D150" s="66" t="s">
        <v>220</v>
      </c>
      <c r="E150" s="158">
        <f t="shared" si="21"/>
        <v>430.22</v>
      </c>
      <c r="F150" s="159">
        <f t="shared" si="22"/>
        <v>0</v>
      </c>
      <c r="G150" s="160">
        <f t="shared" si="23"/>
        <v>430.22</v>
      </c>
      <c r="H150" s="166"/>
      <c r="I150" s="165"/>
      <c r="J150" s="160"/>
      <c r="K150" s="160"/>
      <c r="L150" s="166"/>
      <c r="M150" s="165"/>
      <c r="N150" s="165"/>
      <c r="O150" s="165"/>
      <c r="P150" s="160"/>
      <c r="Q150" s="166"/>
      <c r="R150" s="165"/>
      <c r="S150" s="165">
        <v>47.5</v>
      </c>
      <c r="T150" s="159"/>
      <c r="U150" s="160"/>
      <c r="V150" s="165"/>
      <c r="W150" s="165">
        <v>382.72</v>
      </c>
      <c r="X150" s="160"/>
      <c r="Y150" s="166"/>
      <c r="Z150" s="160"/>
      <c r="AA150" s="160"/>
      <c r="AB150" s="165"/>
      <c r="AC150" s="165"/>
      <c r="AD150" s="165"/>
      <c r="AE150" s="165"/>
      <c r="AF150" s="160"/>
      <c r="AG150" s="160"/>
      <c r="AH150" s="160"/>
      <c r="AI150" s="160"/>
      <c r="AJ150" s="161"/>
      <c r="AK150" s="162"/>
      <c r="AL150" s="165"/>
      <c r="AM150" s="166"/>
      <c r="AN150" s="165"/>
      <c r="AO150" s="160"/>
      <c r="AP150" s="162"/>
      <c r="AQ150" s="161"/>
      <c r="AR150" s="162"/>
      <c r="AS150" s="161"/>
      <c r="AT150" s="165"/>
      <c r="AU150" s="166"/>
      <c r="AV150" s="165"/>
      <c r="AW150" s="166"/>
      <c r="AX150" s="165"/>
      <c r="AY150" s="165"/>
      <c r="AZ150" s="165"/>
      <c r="BA150" s="165"/>
      <c r="BB150" s="166"/>
      <c r="BC150" s="165"/>
      <c r="BD150" s="165"/>
      <c r="BE150" s="165"/>
      <c r="BF150" s="165"/>
      <c r="BG150" s="165"/>
      <c r="BH150" s="165"/>
      <c r="BI150" s="165"/>
      <c r="BJ150" s="166"/>
      <c r="BK150" s="165"/>
      <c r="BL150" s="165"/>
      <c r="BM150" s="163"/>
      <c r="BN150" s="165"/>
      <c r="BO150" s="165"/>
      <c r="BP150" s="165"/>
      <c r="BQ150" s="167"/>
    </row>
    <row r="151" spans="1:270" ht="39.950000000000003" customHeight="1" outlineLevel="1" x14ac:dyDescent="0.3">
      <c r="A151" s="15" t="s">
        <v>211</v>
      </c>
      <c r="B151" s="14" t="s">
        <v>221</v>
      </c>
      <c r="C151" s="9" t="s">
        <v>30</v>
      </c>
      <c r="D151" s="66" t="s">
        <v>1172</v>
      </c>
      <c r="E151" s="158">
        <f t="shared" si="21"/>
        <v>479.70749999999998</v>
      </c>
      <c r="F151" s="159">
        <f t="shared" si="22"/>
        <v>0</v>
      </c>
      <c r="G151" s="160">
        <f t="shared" si="23"/>
        <v>479.70749999999998</v>
      </c>
      <c r="H151" s="166"/>
      <c r="I151" s="165"/>
      <c r="J151" s="160"/>
      <c r="K151" s="160"/>
      <c r="L151" s="166"/>
      <c r="M151" s="165"/>
      <c r="N151" s="165"/>
      <c r="O151" s="165"/>
      <c r="P151" s="160"/>
      <c r="Q151" s="166"/>
      <c r="R151" s="165"/>
      <c r="S151" s="165">
        <v>47.5</v>
      </c>
      <c r="T151" s="159"/>
      <c r="U151" s="160"/>
      <c r="V151" s="165"/>
      <c r="W151" s="165">
        <v>282.88</v>
      </c>
      <c r="X151" s="160"/>
      <c r="Y151" s="166"/>
      <c r="Z151" s="160"/>
      <c r="AA151" s="160"/>
      <c r="AB151" s="165"/>
      <c r="AC151" s="165"/>
      <c r="AD151" s="165"/>
      <c r="AE151" s="165"/>
      <c r="AF151" s="160"/>
      <c r="AG151" s="160"/>
      <c r="AH151" s="160"/>
      <c r="AI151" s="160"/>
      <c r="AJ151" s="161"/>
      <c r="AK151" s="162"/>
      <c r="AL151" s="165"/>
      <c r="AM151" s="166"/>
      <c r="AN151" s="165"/>
      <c r="AO151" s="160"/>
      <c r="AP151" s="162"/>
      <c r="AQ151" s="161"/>
      <c r="AR151" s="162"/>
      <c r="AS151" s="161"/>
      <c r="AT151" s="165"/>
      <c r="AU151" s="166"/>
      <c r="AV151" s="165"/>
      <c r="AW151" s="166"/>
      <c r="AX151" s="165"/>
      <c r="AY151" s="165"/>
      <c r="AZ151" s="165"/>
      <c r="BA151" s="165"/>
      <c r="BB151" s="166"/>
      <c r="BC151" s="165"/>
      <c r="BD151" s="165"/>
      <c r="BE151" s="165"/>
      <c r="BF151" s="165"/>
      <c r="BG151" s="165"/>
      <c r="BH151" s="165"/>
      <c r="BI151" s="165"/>
      <c r="BJ151" s="166"/>
      <c r="BK151" s="165"/>
      <c r="BL151" s="165"/>
      <c r="BM151" s="163"/>
      <c r="BN151" s="165"/>
      <c r="BO151" s="165">
        <v>149.32749999999999</v>
      </c>
      <c r="BP151" s="165"/>
      <c r="BQ151" s="167"/>
    </row>
    <row r="152" spans="1:270" ht="39.950000000000003" customHeight="1" outlineLevel="1" x14ac:dyDescent="0.3">
      <c r="A152" s="15" t="s">
        <v>211</v>
      </c>
      <c r="B152" s="14" t="s">
        <v>1128</v>
      </c>
      <c r="C152" s="9" t="s">
        <v>30</v>
      </c>
      <c r="D152" s="66" t="s">
        <v>1173</v>
      </c>
      <c r="E152" s="158">
        <f t="shared" si="21"/>
        <v>304.38216999999997</v>
      </c>
      <c r="F152" s="159">
        <f t="shared" si="22"/>
        <v>10.06335</v>
      </c>
      <c r="G152" s="160">
        <f t="shared" si="23"/>
        <v>294.31881999999996</v>
      </c>
      <c r="H152" s="166"/>
      <c r="I152" s="165"/>
      <c r="J152" s="160"/>
      <c r="K152" s="160"/>
      <c r="L152" s="166"/>
      <c r="M152" s="165"/>
      <c r="N152" s="165"/>
      <c r="O152" s="165"/>
      <c r="P152" s="160"/>
      <c r="Q152" s="166"/>
      <c r="R152" s="165"/>
      <c r="S152" s="165"/>
      <c r="T152" s="159"/>
      <c r="U152" s="160"/>
      <c r="V152" s="165"/>
      <c r="W152" s="165"/>
      <c r="X152" s="160"/>
      <c r="Y152" s="166">
        <v>10.06335</v>
      </c>
      <c r="Z152" s="165">
        <v>3.3544499999999999</v>
      </c>
      <c r="AA152" s="160">
        <v>149.98437000000001</v>
      </c>
      <c r="AB152" s="165"/>
      <c r="AC152" s="165"/>
      <c r="AD152" s="165"/>
      <c r="AE152" s="165"/>
      <c r="AF152" s="160"/>
      <c r="AG152" s="160"/>
      <c r="AH152" s="160"/>
      <c r="AI152" s="160"/>
      <c r="AJ152" s="161"/>
      <c r="AK152" s="162"/>
      <c r="AL152" s="165"/>
      <c r="AM152" s="166"/>
      <c r="AN152" s="165"/>
      <c r="AO152" s="160"/>
      <c r="AP152" s="162"/>
      <c r="AQ152" s="161"/>
      <c r="AR152" s="162"/>
      <c r="AS152" s="161"/>
      <c r="AT152" s="165"/>
      <c r="AU152" s="166"/>
      <c r="AV152" s="165"/>
      <c r="AW152" s="166"/>
      <c r="AX152" s="165"/>
      <c r="AY152" s="165"/>
      <c r="AZ152" s="165"/>
      <c r="BA152" s="165"/>
      <c r="BB152" s="166"/>
      <c r="BC152" s="165"/>
      <c r="BD152" s="165"/>
      <c r="BE152" s="165"/>
      <c r="BF152" s="165"/>
      <c r="BG152" s="165"/>
      <c r="BH152" s="165"/>
      <c r="BI152" s="165"/>
      <c r="BJ152" s="166"/>
      <c r="BK152" s="165"/>
      <c r="BL152" s="165"/>
      <c r="BM152" s="163"/>
      <c r="BN152" s="165"/>
      <c r="BO152" s="165">
        <v>140.97999999999999</v>
      </c>
      <c r="BP152" s="165"/>
      <c r="BQ152" s="167"/>
    </row>
    <row r="153" spans="1:270" ht="39.950000000000003" customHeight="1" outlineLevel="1" x14ac:dyDescent="0.3">
      <c r="A153" s="15" t="s">
        <v>211</v>
      </c>
      <c r="B153" s="14" t="s">
        <v>222</v>
      </c>
      <c r="C153" s="9" t="s">
        <v>30</v>
      </c>
      <c r="D153" s="66">
        <v>240500452084</v>
      </c>
      <c r="E153" s="158">
        <f t="shared" si="21"/>
        <v>45</v>
      </c>
      <c r="F153" s="159">
        <f t="shared" si="22"/>
        <v>0</v>
      </c>
      <c r="G153" s="160">
        <f t="shared" si="23"/>
        <v>45</v>
      </c>
      <c r="H153" s="166"/>
      <c r="I153" s="165"/>
      <c r="J153" s="160"/>
      <c r="K153" s="160"/>
      <c r="L153" s="166"/>
      <c r="M153" s="165"/>
      <c r="N153" s="165"/>
      <c r="O153" s="165"/>
      <c r="P153" s="160"/>
      <c r="Q153" s="166"/>
      <c r="R153" s="165"/>
      <c r="S153" s="165">
        <v>45</v>
      </c>
      <c r="T153" s="159"/>
      <c r="U153" s="160"/>
      <c r="V153" s="165"/>
      <c r="W153" s="165"/>
      <c r="X153" s="160"/>
      <c r="Y153" s="166"/>
      <c r="Z153" s="160"/>
      <c r="AA153" s="160"/>
      <c r="AB153" s="165"/>
      <c r="AC153" s="165"/>
      <c r="AD153" s="165"/>
      <c r="AE153" s="165"/>
      <c r="AF153" s="160"/>
      <c r="AG153" s="160"/>
      <c r="AH153" s="160"/>
      <c r="AI153" s="160"/>
      <c r="AJ153" s="161"/>
      <c r="AK153" s="162"/>
      <c r="AL153" s="165"/>
      <c r="AM153" s="166"/>
      <c r="AN153" s="165"/>
      <c r="AO153" s="160"/>
      <c r="AP153" s="162"/>
      <c r="AQ153" s="161"/>
      <c r="AR153" s="162"/>
      <c r="AS153" s="161"/>
      <c r="AT153" s="165"/>
      <c r="AU153" s="166"/>
      <c r="AV153" s="165"/>
      <c r="AW153" s="166"/>
      <c r="AX153" s="165"/>
      <c r="AY153" s="165"/>
      <c r="AZ153" s="165"/>
      <c r="BA153" s="165"/>
      <c r="BB153" s="166"/>
      <c r="BC153" s="165"/>
      <c r="BD153" s="165"/>
      <c r="BE153" s="165"/>
      <c r="BF153" s="165"/>
      <c r="BG153" s="165"/>
      <c r="BH153" s="165"/>
      <c r="BI153" s="165"/>
      <c r="BJ153" s="166"/>
      <c r="BK153" s="165"/>
      <c r="BL153" s="165"/>
      <c r="BM153" s="163"/>
      <c r="BN153" s="165"/>
      <c r="BO153" s="165"/>
      <c r="BP153" s="165"/>
      <c r="BQ153" s="167"/>
    </row>
    <row r="154" spans="1:270" ht="39.950000000000003" customHeight="1" outlineLevel="1" x14ac:dyDescent="0.3">
      <c r="A154" s="15" t="s">
        <v>211</v>
      </c>
      <c r="B154" s="14" t="s">
        <v>223</v>
      </c>
      <c r="C154" s="9" t="s">
        <v>30</v>
      </c>
      <c r="D154" s="66">
        <v>240500611753</v>
      </c>
      <c r="E154" s="158">
        <f t="shared" si="21"/>
        <v>1255.3</v>
      </c>
      <c r="F154" s="159">
        <f t="shared" si="22"/>
        <v>0</v>
      </c>
      <c r="G154" s="160">
        <f t="shared" si="23"/>
        <v>1255.3</v>
      </c>
      <c r="H154" s="166"/>
      <c r="I154" s="165"/>
      <c r="J154" s="160"/>
      <c r="K154" s="160"/>
      <c r="L154" s="166"/>
      <c r="M154" s="165"/>
      <c r="N154" s="165"/>
      <c r="O154" s="165"/>
      <c r="P154" s="160"/>
      <c r="Q154" s="166"/>
      <c r="R154" s="165"/>
      <c r="S154" s="165">
        <v>47</v>
      </c>
      <c r="T154" s="159"/>
      <c r="U154" s="160"/>
      <c r="V154" s="165"/>
      <c r="W154" s="165">
        <v>490.88</v>
      </c>
      <c r="X154" s="160"/>
      <c r="Y154" s="166"/>
      <c r="Z154" s="160"/>
      <c r="AA154" s="160"/>
      <c r="AB154" s="165"/>
      <c r="AC154" s="165"/>
      <c r="AD154" s="165"/>
      <c r="AE154" s="165"/>
      <c r="AF154" s="160"/>
      <c r="AG154" s="160"/>
      <c r="AH154" s="160"/>
      <c r="AI154" s="160"/>
      <c r="AJ154" s="161"/>
      <c r="AK154" s="162"/>
      <c r="AL154" s="165"/>
      <c r="AM154" s="166"/>
      <c r="AN154" s="165"/>
      <c r="AO154" s="160"/>
      <c r="AP154" s="162"/>
      <c r="AQ154" s="161"/>
      <c r="AR154" s="162"/>
      <c r="AS154" s="161"/>
      <c r="AT154" s="165"/>
      <c r="AU154" s="166"/>
      <c r="AV154" s="165"/>
      <c r="AW154" s="166"/>
      <c r="AX154" s="165"/>
      <c r="AY154" s="165"/>
      <c r="AZ154" s="165"/>
      <c r="BA154" s="165"/>
      <c r="BB154" s="166"/>
      <c r="BC154" s="165"/>
      <c r="BD154" s="165"/>
      <c r="BE154" s="165"/>
      <c r="BF154" s="165">
        <v>361.26</v>
      </c>
      <c r="BG154" s="165"/>
      <c r="BH154" s="165"/>
      <c r="BI154" s="165"/>
      <c r="BJ154" s="166"/>
      <c r="BK154" s="165"/>
      <c r="BL154" s="165"/>
      <c r="BM154" s="163"/>
      <c r="BN154" s="165"/>
      <c r="BO154" s="165">
        <v>356.16</v>
      </c>
      <c r="BP154" s="165"/>
      <c r="BQ154" s="167"/>
    </row>
    <row r="155" spans="1:270" s="34" customFormat="1" ht="39.950000000000003" customHeight="1" x14ac:dyDescent="0.3">
      <c r="A155" s="118" t="s">
        <v>224</v>
      </c>
      <c r="B155" s="120"/>
      <c r="C155" s="116" t="s">
        <v>80</v>
      </c>
      <c r="D155" s="117"/>
      <c r="E155" s="173">
        <f>SUBTOTAL(9,E141:E154)</f>
        <v>9904.0499099999997</v>
      </c>
      <c r="F155" s="173">
        <f t="shared" ref="F155:BP155" si="24">SUBTOTAL(9,F141:F154)</f>
        <v>5713.5943500000003</v>
      </c>
      <c r="G155" s="173">
        <f t="shared" si="24"/>
        <v>4190.4555600000003</v>
      </c>
      <c r="H155" s="173">
        <f t="shared" si="24"/>
        <v>0</v>
      </c>
      <c r="I155" s="173">
        <f t="shared" si="24"/>
        <v>0</v>
      </c>
      <c r="J155" s="173">
        <f t="shared" si="24"/>
        <v>0</v>
      </c>
      <c r="K155" s="173">
        <f t="shared" si="24"/>
        <v>0</v>
      </c>
      <c r="L155" s="173">
        <f t="shared" si="24"/>
        <v>0</v>
      </c>
      <c r="M155" s="173">
        <f t="shared" si="24"/>
        <v>0</v>
      </c>
      <c r="N155" s="173">
        <f t="shared" si="24"/>
        <v>0</v>
      </c>
      <c r="O155" s="173">
        <f>SUBTOTAL(9,O141:O154)</f>
        <v>0</v>
      </c>
      <c r="P155" s="173">
        <f>SUBTOTAL(9,P141:P154)</f>
        <v>0</v>
      </c>
      <c r="Q155" s="173">
        <f t="shared" si="24"/>
        <v>0</v>
      </c>
      <c r="R155" s="173">
        <f t="shared" si="24"/>
        <v>0</v>
      </c>
      <c r="S155" s="173">
        <f t="shared" si="24"/>
        <v>415.53999999999996</v>
      </c>
      <c r="T155" s="173">
        <f>SUBTOTAL(9,T141:T154)</f>
        <v>0</v>
      </c>
      <c r="U155" s="173">
        <f>SUBTOTAL(9,U141:U154)</f>
        <v>0</v>
      </c>
      <c r="V155" s="173">
        <f t="shared" si="24"/>
        <v>0</v>
      </c>
      <c r="W155" s="173">
        <f t="shared" si="24"/>
        <v>2246.4</v>
      </c>
      <c r="X155" s="173">
        <f>SUBTOTAL(9,X141:X154)</f>
        <v>0</v>
      </c>
      <c r="Y155" s="173">
        <f t="shared" si="24"/>
        <v>13.59435</v>
      </c>
      <c r="Z155" s="173">
        <f t="shared" si="24"/>
        <v>4.5314499999999995</v>
      </c>
      <c r="AA155" s="173">
        <f t="shared" si="24"/>
        <v>216.25661000000002</v>
      </c>
      <c r="AB155" s="173">
        <f t="shared" si="24"/>
        <v>0</v>
      </c>
      <c r="AC155" s="173">
        <f t="shared" si="24"/>
        <v>0</v>
      </c>
      <c r="AD155" s="173">
        <f>SUBTOTAL(9,AD141:AD154)</f>
        <v>0</v>
      </c>
      <c r="AE155" s="173">
        <f t="shared" si="24"/>
        <v>0</v>
      </c>
      <c r="AF155" s="173">
        <f t="shared" si="24"/>
        <v>0</v>
      </c>
      <c r="AG155" s="173">
        <f t="shared" si="24"/>
        <v>0</v>
      </c>
      <c r="AH155" s="173">
        <f t="shared" si="24"/>
        <v>0</v>
      </c>
      <c r="AI155" s="173">
        <f t="shared" si="24"/>
        <v>0</v>
      </c>
      <c r="AJ155" s="173">
        <f t="shared" si="24"/>
        <v>0</v>
      </c>
      <c r="AK155" s="173">
        <f t="shared" si="24"/>
        <v>0</v>
      </c>
      <c r="AL155" s="173">
        <f t="shared" si="24"/>
        <v>0</v>
      </c>
      <c r="AM155" s="173">
        <f>SUBTOTAL(9,AM141:AM154)</f>
        <v>5700</v>
      </c>
      <c r="AN155" s="173">
        <f>SUBTOTAL(9,AN141:AN154)</f>
        <v>300</v>
      </c>
      <c r="AO155" s="173">
        <f>SUBTOTAL(9,AO141:AO154)</f>
        <v>0</v>
      </c>
      <c r="AP155" s="173">
        <f t="shared" si="24"/>
        <v>0</v>
      </c>
      <c r="AQ155" s="173">
        <f t="shared" si="24"/>
        <v>0</v>
      </c>
      <c r="AR155" s="173">
        <f t="shared" si="24"/>
        <v>0</v>
      </c>
      <c r="AS155" s="173">
        <f t="shared" si="24"/>
        <v>0</v>
      </c>
      <c r="AT155" s="173">
        <f>SUBTOTAL(9,AT141:AT154)</f>
        <v>0</v>
      </c>
      <c r="AU155" s="173">
        <f t="shared" si="24"/>
        <v>0</v>
      </c>
      <c r="AV155" s="173">
        <f t="shared" si="24"/>
        <v>0</v>
      </c>
      <c r="AW155" s="173">
        <f t="shared" si="24"/>
        <v>0</v>
      </c>
      <c r="AX155" s="173">
        <f t="shared" si="24"/>
        <v>0</v>
      </c>
      <c r="AY155" s="173">
        <f t="shared" si="24"/>
        <v>0</v>
      </c>
      <c r="AZ155" s="173">
        <f t="shared" si="24"/>
        <v>0</v>
      </c>
      <c r="BA155" s="173">
        <f t="shared" si="24"/>
        <v>0</v>
      </c>
      <c r="BB155" s="173">
        <f t="shared" si="24"/>
        <v>0</v>
      </c>
      <c r="BC155" s="173">
        <f t="shared" si="24"/>
        <v>0</v>
      </c>
      <c r="BD155" s="173">
        <f t="shared" si="24"/>
        <v>0</v>
      </c>
      <c r="BE155" s="173">
        <f t="shared" si="24"/>
        <v>0</v>
      </c>
      <c r="BF155" s="173">
        <f t="shared" si="24"/>
        <v>361.26</v>
      </c>
      <c r="BG155" s="173">
        <f t="shared" si="24"/>
        <v>0</v>
      </c>
      <c r="BH155" s="173">
        <f t="shared" si="24"/>
        <v>0</v>
      </c>
      <c r="BI155" s="173">
        <f t="shared" si="24"/>
        <v>0</v>
      </c>
      <c r="BJ155" s="173">
        <f t="shared" si="24"/>
        <v>0</v>
      </c>
      <c r="BK155" s="173">
        <f t="shared" si="24"/>
        <v>0</v>
      </c>
      <c r="BL155" s="173">
        <f t="shared" si="24"/>
        <v>0</v>
      </c>
      <c r="BM155" s="174">
        <f>SUBTOTAL(9,BM141:BM154)</f>
        <v>0</v>
      </c>
      <c r="BN155" s="173">
        <f t="shared" si="24"/>
        <v>0</v>
      </c>
      <c r="BO155" s="173">
        <f t="shared" si="24"/>
        <v>646.46749999999997</v>
      </c>
      <c r="BP155" s="173">
        <f t="shared" si="24"/>
        <v>0</v>
      </c>
      <c r="BQ155" s="174">
        <f t="shared" ref="BQ155" si="25">SUBTOTAL(9,BQ141:BQ154)</f>
        <v>0</v>
      </c>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c r="DV155" s="40"/>
      <c r="DW155" s="40"/>
      <c r="DX155" s="40"/>
      <c r="DY155" s="40"/>
      <c r="DZ155" s="40"/>
      <c r="EA155" s="40"/>
      <c r="EB155" s="40"/>
      <c r="EC155" s="40"/>
      <c r="ED155" s="40"/>
      <c r="EE155" s="40"/>
      <c r="EF155" s="40"/>
      <c r="EG155" s="40"/>
      <c r="EH155" s="40"/>
      <c r="EI155" s="40"/>
      <c r="EJ155" s="40"/>
      <c r="EK155" s="40"/>
      <c r="EL155" s="40"/>
      <c r="EM155" s="40"/>
      <c r="EN155" s="40"/>
      <c r="EO155" s="40"/>
      <c r="EP155" s="40"/>
      <c r="EQ155" s="40"/>
      <c r="ER155" s="40"/>
      <c r="ES155" s="40"/>
      <c r="ET155" s="40"/>
      <c r="EU155" s="40"/>
      <c r="EV155" s="40"/>
      <c r="EW155" s="40"/>
      <c r="EX155" s="40"/>
      <c r="EY155" s="40"/>
      <c r="EZ155" s="40"/>
      <c r="FA155" s="40"/>
      <c r="FB155" s="40"/>
      <c r="FC155" s="40"/>
      <c r="FD155" s="40"/>
      <c r="FE155" s="40"/>
      <c r="FF155" s="40"/>
      <c r="FG155" s="40"/>
      <c r="FH155" s="40"/>
      <c r="FI155" s="40"/>
      <c r="FJ155" s="40"/>
      <c r="FK155" s="40"/>
      <c r="FL155" s="40"/>
      <c r="FM155" s="40"/>
      <c r="FN155" s="40"/>
      <c r="FO155" s="40"/>
      <c r="FP155" s="40"/>
      <c r="FQ155" s="40"/>
      <c r="FR155" s="40"/>
      <c r="FS155" s="40"/>
      <c r="FT155" s="40"/>
      <c r="FU155" s="40"/>
      <c r="FV155" s="40"/>
      <c r="FW155" s="40"/>
      <c r="FX155" s="40"/>
      <c r="FY155" s="40"/>
      <c r="FZ155" s="40"/>
      <c r="GA155" s="40"/>
      <c r="GB155" s="40"/>
      <c r="GC155" s="40"/>
      <c r="GD155" s="40"/>
      <c r="GE155" s="40"/>
      <c r="GF155" s="40"/>
      <c r="GG155" s="40"/>
      <c r="GH155" s="40"/>
      <c r="GI155" s="40"/>
      <c r="GJ155" s="40"/>
      <c r="GK155" s="40"/>
      <c r="GL155" s="40"/>
      <c r="GM155" s="40"/>
      <c r="GN155" s="40"/>
      <c r="GO155" s="40"/>
      <c r="GP155" s="40"/>
      <c r="GQ155" s="40"/>
      <c r="GR155" s="40"/>
      <c r="GS155" s="40"/>
      <c r="GT155" s="40"/>
      <c r="GU155" s="40"/>
      <c r="GV155" s="40"/>
      <c r="GW155" s="40"/>
      <c r="GX155" s="40"/>
      <c r="GY155" s="40"/>
      <c r="GZ155" s="40"/>
      <c r="HA155" s="40"/>
      <c r="HB155" s="40"/>
      <c r="HC155" s="40"/>
      <c r="HD155" s="40"/>
      <c r="HE155" s="40"/>
      <c r="HF155" s="40"/>
      <c r="HG155" s="40"/>
      <c r="HH155" s="40"/>
      <c r="HI155" s="40"/>
      <c r="HJ155" s="40"/>
      <c r="HK155" s="40"/>
      <c r="HL155" s="40"/>
      <c r="HM155" s="40"/>
      <c r="HN155" s="40"/>
      <c r="HO155" s="40"/>
      <c r="HP155" s="40"/>
      <c r="HQ155" s="40"/>
      <c r="HR155" s="40"/>
      <c r="HS155" s="40"/>
      <c r="HT155" s="40"/>
      <c r="HU155" s="40"/>
      <c r="HV155" s="40"/>
      <c r="HW155" s="40"/>
      <c r="HX155" s="40"/>
      <c r="HY155" s="40"/>
      <c r="HZ155" s="40"/>
      <c r="IA155" s="40"/>
      <c r="IB155" s="40"/>
      <c r="IC155" s="40"/>
      <c r="ID155" s="40"/>
      <c r="IE155" s="40"/>
      <c r="IF155" s="40"/>
      <c r="IG155" s="40"/>
      <c r="IH155" s="40"/>
      <c r="II155" s="40"/>
      <c r="IJ155" s="40"/>
      <c r="IK155" s="40"/>
      <c r="IL155" s="40"/>
      <c r="IM155" s="40"/>
      <c r="IN155" s="40"/>
      <c r="IO155" s="40"/>
      <c r="IP155" s="40"/>
      <c r="IQ155" s="40"/>
      <c r="IR155" s="40"/>
      <c r="IS155" s="40"/>
      <c r="IT155" s="40"/>
      <c r="IU155" s="40"/>
      <c r="IV155" s="40"/>
      <c r="IW155" s="40"/>
      <c r="IX155" s="40"/>
      <c r="IY155" s="40"/>
      <c r="IZ155" s="40"/>
      <c r="JA155" s="40"/>
      <c r="JB155" s="40"/>
      <c r="JC155" s="40"/>
      <c r="JD155" s="40"/>
      <c r="JE155" s="40"/>
      <c r="JF155" s="40"/>
      <c r="JG155" s="40"/>
      <c r="JH155" s="40"/>
      <c r="JI155" s="40"/>
      <c r="JJ155" s="40"/>
    </row>
    <row r="156" spans="1:270" ht="39.950000000000003" customHeight="1" outlineLevel="1" x14ac:dyDescent="0.3">
      <c r="A156" s="17" t="s">
        <v>225</v>
      </c>
      <c r="B156" s="14" t="s">
        <v>254</v>
      </c>
      <c r="C156" s="9" t="s">
        <v>28</v>
      </c>
      <c r="D156" s="66" t="s">
        <v>255</v>
      </c>
      <c r="E156" s="158">
        <f t="shared" ref="E156:E174" si="26">F156+G156</f>
        <v>213.59066999999999</v>
      </c>
      <c r="F156" s="159">
        <f t="shared" ref="F156:F174" si="27">H156+L156+Q156+Y156+T156+AK156+AP156+AM156+AR156+AU156+AW156+BB156+BJ156</f>
        <v>83.196079999999995</v>
      </c>
      <c r="G156" s="160">
        <f t="shared" ref="G156:G174" si="28">I156+J156+K156+M156+N156+R156+S156+V156+W156+AD156+O156+X156+Z156+AA156+AB156+AC156+AE156+AF156+P156+U156+AG156+AH156+AI156+AO156+AJ156+AL156+AQ156+AN156+AS156+AV156+AX156+AY156+AZ156+BA156+BC156+BD156+BE156+BF156+BG156+BH156+BI156+AT156+BK156+BL156+BN156+BO156+BP156+BQ156+BM156</f>
        <v>130.39458999999999</v>
      </c>
      <c r="H156" s="166"/>
      <c r="I156" s="165"/>
      <c r="J156" s="160"/>
      <c r="K156" s="160"/>
      <c r="L156" s="166">
        <v>83.196079999999995</v>
      </c>
      <c r="M156" s="165">
        <v>130.39458999999999</v>
      </c>
      <c r="N156" s="165"/>
      <c r="O156" s="165"/>
      <c r="P156" s="160"/>
      <c r="Q156" s="166"/>
      <c r="R156" s="165"/>
      <c r="S156" s="165"/>
      <c r="T156" s="159"/>
      <c r="U156" s="160"/>
      <c r="V156" s="165"/>
      <c r="W156" s="165"/>
      <c r="X156" s="160"/>
      <c r="Y156" s="166"/>
      <c r="Z156" s="160"/>
      <c r="AA156" s="160"/>
      <c r="AB156" s="165"/>
      <c r="AC156" s="165"/>
      <c r="AD156" s="165"/>
      <c r="AE156" s="165"/>
      <c r="AF156" s="160"/>
      <c r="AG156" s="160"/>
      <c r="AH156" s="160"/>
      <c r="AI156" s="160"/>
      <c r="AJ156" s="161"/>
      <c r="AK156" s="162"/>
      <c r="AL156" s="165"/>
      <c r="AM156" s="166"/>
      <c r="AN156" s="165"/>
      <c r="AO156" s="160"/>
      <c r="AP156" s="162"/>
      <c r="AQ156" s="161"/>
      <c r="AR156" s="162"/>
      <c r="AS156" s="161"/>
      <c r="AT156" s="165"/>
      <c r="AU156" s="166"/>
      <c r="AV156" s="165"/>
      <c r="AW156" s="166"/>
      <c r="AX156" s="165"/>
      <c r="AY156" s="165"/>
      <c r="AZ156" s="165"/>
      <c r="BA156" s="165"/>
      <c r="BB156" s="166"/>
      <c r="BC156" s="165"/>
      <c r="BD156" s="165"/>
      <c r="BE156" s="165"/>
      <c r="BF156" s="165"/>
      <c r="BG156" s="165"/>
      <c r="BH156" s="165"/>
      <c r="BI156" s="165"/>
      <c r="BJ156" s="166"/>
      <c r="BK156" s="165"/>
      <c r="BL156" s="165"/>
      <c r="BM156" s="163"/>
      <c r="BN156" s="165"/>
      <c r="BO156" s="165"/>
      <c r="BP156" s="165"/>
      <c r="BQ156" s="167"/>
    </row>
    <row r="157" spans="1:270" ht="39.950000000000003" customHeight="1" outlineLevel="1" x14ac:dyDescent="0.3">
      <c r="A157" s="17" t="s">
        <v>225</v>
      </c>
      <c r="B157" s="14" t="s">
        <v>1312</v>
      </c>
      <c r="C157" s="46" t="s">
        <v>30</v>
      </c>
      <c r="D157" s="66">
        <v>240800790359</v>
      </c>
      <c r="E157" s="158">
        <f t="shared" si="26"/>
        <v>133.41422</v>
      </c>
      <c r="F157" s="159">
        <f t="shared" si="27"/>
        <v>23.646000000000001</v>
      </c>
      <c r="G157" s="160">
        <f t="shared" si="28"/>
        <v>109.76822</v>
      </c>
      <c r="H157" s="166"/>
      <c r="I157" s="165"/>
      <c r="J157" s="160"/>
      <c r="K157" s="160"/>
      <c r="L157" s="166"/>
      <c r="M157" s="165"/>
      <c r="N157" s="165"/>
      <c r="O157" s="165"/>
      <c r="P157" s="160"/>
      <c r="Q157" s="166"/>
      <c r="R157" s="165"/>
      <c r="S157" s="165"/>
      <c r="T157" s="159"/>
      <c r="U157" s="160"/>
      <c r="V157" s="165"/>
      <c r="W157" s="165"/>
      <c r="X157" s="160"/>
      <c r="Y157" s="166">
        <v>23.646000000000001</v>
      </c>
      <c r="Z157" s="160">
        <v>7.8819999999999997</v>
      </c>
      <c r="AA157" s="160">
        <v>101.88621999999999</v>
      </c>
      <c r="AB157" s="165"/>
      <c r="AC157" s="165"/>
      <c r="AD157" s="165"/>
      <c r="AE157" s="165"/>
      <c r="AF157" s="160"/>
      <c r="AG157" s="160"/>
      <c r="AH157" s="160"/>
      <c r="AI157" s="160"/>
      <c r="AJ157" s="161"/>
      <c r="AK157" s="162"/>
      <c r="AL157" s="165"/>
      <c r="AM157" s="166"/>
      <c r="AN157" s="165"/>
      <c r="AO157" s="160"/>
      <c r="AP157" s="162"/>
      <c r="AQ157" s="161"/>
      <c r="AR157" s="162"/>
      <c r="AS157" s="161"/>
      <c r="AT157" s="165"/>
      <c r="AU157" s="166"/>
      <c r="AV157" s="165"/>
      <c r="AW157" s="166"/>
      <c r="AX157" s="165"/>
      <c r="AY157" s="165"/>
      <c r="AZ157" s="165"/>
      <c r="BA157" s="165"/>
      <c r="BB157" s="166"/>
      <c r="BC157" s="165"/>
      <c r="BD157" s="165"/>
      <c r="BE157" s="165"/>
      <c r="BF157" s="165"/>
      <c r="BG157" s="165"/>
      <c r="BH157" s="165"/>
      <c r="BI157" s="165"/>
      <c r="BJ157" s="166"/>
      <c r="BK157" s="165"/>
      <c r="BL157" s="165"/>
      <c r="BM157" s="163"/>
      <c r="BN157" s="165"/>
      <c r="BO157" s="165"/>
      <c r="BP157" s="165"/>
      <c r="BQ157" s="167"/>
    </row>
    <row r="158" spans="1:270" ht="39.950000000000003" customHeight="1" outlineLevel="1" x14ac:dyDescent="0.3">
      <c r="A158" s="17" t="s">
        <v>225</v>
      </c>
      <c r="B158" s="14" t="s">
        <v>234</v>
      </c>
      <c r="C158" s="9" t="s">
        <v>30</v>
      </c>
      <c r="D158" s="66" t="s">
        <v>235</v>
      </c>
      <c r="E158" s="158">
        <f t="shared" si="26"/>
        <v>2221.0403999999999</v>
      </c>
      <c r="F158" s="159">
        <f t="shared" si="27"/>
        <v>439.50802999999996</v>
      </c>
      <c r="G158" s="160">
        <f t="shared" si="28"/>
        <v>1781.5323699999999</v>
      </c>
      <c r="H158" s="166"/>
      <c r="I158" s="165"/>
      <c r="J158" s="160"/>
      <c r="K158" s="160"/>
      <c r="L158" s="166">
        <v>231.19826</v>
      </c>
      <c r="M158" s="165">
        <v>362.36086999999998</v>
      </c>
      <c r="N158" s="165"/>
      <c r="O158" s="165"/>
      <c r="P158" s="160"/>
      <c r="Q158" s="166"/>
      <c r="R158" s="165"/>
      <c r="S158" s="165">
        <f>913.2+114.36</f>
        <v>1027.56</v>
      </c>
      <c r="T158" s="159"/>
      <c r="U158" s="160"/>
      <c r="V158" s="165"/>
      <c r="W158" s="165"/>
      <c r="X158" s="160"/>
      <c r="Y158" s="166">
        <v>41.871000000000002</v>
      </c>
      <c r="Z158" s="160">
        <v>13.957000000000001</v>
      </c>
      <c r="AA158" s="160">
        <v>141.22</v>
      </c>
      <c r="AB158" s="165"/>
      <c r="AC158" s="165"/>
      <c r="AD158" s="165"/>
      <c r="AE158" s="165"/>
      <c r="AF158" s="160"/>
      <c r="AG158" s="160"/>
      <c r="AH158" s="160"/>
      <c r="AI158" s="160"/>
      <c r="AJ158" s="161"/>
      <c r="AK158" s="162"/>
      <c r="AL158" s="165"/>
      <c r="AM158" s="166"/>
      <c r="AN158" s="165"/>
      <c r="AO158" s="160"/>
      <c r="AP158" s="162"/>
      <c r="AQ158" s="161"/>
      <c r="AR158" s="162"/>
      <c r="AS158" s="161"/>
      <c r="AT158" s="165"/>
      <c r="AU158" s="166"/>
      <c r="AV158" s="165"/>
      <c r="AW158" s="166">
        <f>61.34589+105.09288</f>
        <v>166.43876999999998</v>
      </c>
      <c r="AX158" s="165">
        <f>6.21426+10.64576+18.3241+31.39138</f>
        <v>66.575500000000005</v>
      </c>
      <c r="AY158" s="165"/>
      <c r="AZ158" s="165"/>
      <c r="BA158" s="165"/>
      <c r="BB158" s="166"/>
      <c r="BC158" s="165"/>
      <c r="BD158" s="165"/>
      <c r="BE158" s="165"/>
      <c r="BF158" s="165"/>
      <c r="BG158" s="165">
        <v>169.85900000000001</v>
      </c>
      <c r="BH158" s="165"/>
      <c r="BI158" s="165"/>
      <c r="BJ158" s="166"/>
      <c r="BK158" s="165"/>
      <c r="BL158" s="165"/>
      <c r="BM158" s="163"/>
      <c r="BN158" s="165"/>
      <c r="BO158" s="165"/>
      <c r="BP158" s="165"/>
      <c r="BQ158" s="167"/>
    </row>
    <row r="159" spans="1:270" ht="39.950000000000003" customHeight="1" outlineLevel="1" x14ac:dyDescent="0.3">
      <c r="A159" s="17" t="s">
        <v>225</v>
      </c>
      <c r="B159" s="12" t="s">
        <v>236</v>
      </c>
      <c r="C159" s="9" t="s">
        <v>30</v>
      </c>
      <c r="D159" s="66" t="s">
        <v>237</v>
      </c>
      <c r="E159" s="158">
        <f t="shared" si="26"/>
        <v>88.578630000000004</v>
      </c>
      <c r="F159" s="159">
        <f t="shared" si="27"/>
        <v>34.502420000000001</v>
      </c>
      <c r="G159" s="160">
        <f t="shared" si="28"/>
        <v>54.076210000000003</v>
      </c>
      <c r="H159" s="166"/>
      <c r="I159" s="165"/>
      <c r="J159" s="160"/>
      <c r="K159" s="160"/>
      <c r="L159" s="166">
        <v>34.502420000000001</v>
      </c>
      <c r="M159" s="165">
        <v>54.076210000000003</v>
      </c>
      <c r="N159" s="165"/>
      <c r="O159" s="165"/>
      <c r="P159" s="160"/>
      <c r="Q159" s="166"/>
      <c r="R159" s="165"/>
      <c r="S159" s="165"/>
      <c r="T159" s="159"/>
      <c r="U159" s="160"/>
      <c r="V159" s="165"/>
      <c r="W159" s="165"/>
      <c r="X159" s="160"/>
      <c r="Y159" s="166"/>
      <c r="Z159" s="160"/>
      <c r="AA159" s="160"/>
      <c r="AB159" s="165"/>
      <c r="AC159" s="165"/>
      <c r="AD159" s="165"/>
      <c r="AE159" s="165"/>
      <c r="AF159" s="160"/>
      <c r="AG159" s="160"/>
      <c r="AH159" s="160"/>
      <c r="AI159" s="160"/>
      <c r="AJ159" s="161"/>
      <c r="AK159" s="162"/>
      <c r="AL159" s="165"/>
      <c r="AM159" s="166"/>
      <c r="AN159" s="165"/>
      <c r="AO159" s="160"/>
      <c r="AP159" s="162"/>
      <c r="AQ159" s="161"/>
      <c r="AR159" s="162"/>
      <c r="AS159" s="161"/>
      <c r="AT159" s="165"/>
      <c r="AU159" s="166"/>
      <c r="AV159" s="165"/>
      <c r="AW159" s="166"/>
      <c r="AX159" s="165"/>
      <c r="AY159" s="165"/>
      <c r="AZ159" s="165"/>
      <c r="BA159" s="165"/>
      <c r="BB159" s="166"/>
      <c r="BC159" s="165"/>
      <c r="BD159" s="165"/>
      <c r="BE159" s="165"/>
      <c r="BF159" s="165"/>
      <c r="BG159" s="165"/>
      <c r="BH159" s="165"/>
      <c r="BI159" s="165"/>
      <c r="BJ159" s="166"/>
      <c r="BK159" s="165"/>
      <c r="BL159" s="165"/>
      <c r="BM159" s="163"/>
      <c r="BN159" s="165"/>
      <c r="BO159" s="165"/>
      <c r="BP159" s="165"/>
      <c r="BQ159" s="167"/>
    </row>
    <row r="160" spans="1:270" ht="39.950000000000003" customHeight="1" outlineLevel="1" x14ac:dyDescent="0.3">
      <c r="A160" s="17" t="s">
        <v>225</v>
      </c>
      <c r="B160" s="14" t="s">
        <v>238</v>
      </c>
      <c r="C160" s="9" t="s">
        <v>30</v>
      </c>
      <c r="D160" s="66" t="s">
        <v>239</v>
      </c>
      <c r="E160" s="158">
        <f t="shared" si="26"/>
        <v>2518.0124899999996</v>
      </c>
      <c r="F160" s="159">
        <f t="shared" si="27"/>
        <v>789.17628999999999</v>
      </c>
      <c r="G160" s="160">
        <f t="shared" si="28"/>
        <v>1728.8361999999997</v>
      </c>
      <c r="H160" s="166">
        <v>205.27500000000001</v>
      </c>
      <c r="I160" s="165">
        <v>68.424999999999997</v>
      </c>
      <c r="J160" s="160"/>
      <c r="K160" s="160"/>
      <c r="L160" s="166">
        <v>311.42397999999997</v>
      </c>
      <c r="M160" s="165">
        <v>488.09996999999998</v>
      </c>
      <c r="N160" s="165"/>
      <c r="O160" s="165"/>
      <c r="P160" s="160"/>
      <c r="Q160" s="166"/>
      <c r="R160" s="165"/>
      <c r="S160" s="165"/>
      <c r="T160" s="159"/>
      <c r="U160" s="160"/>
      <c r="V160" s="165"/>
      <c r="W160" s="165"/>
      <c r="X160" s="160"/>
      <c r="Y160" s="166">
        <v>85.116</v>
      </c>
      <c r="Z160" s="160">
        <v>28.372</v>
      </c>
      <c r="AA160" s="160">
        <v>374.44718999999998</v>
      </c>
      <c r="AB160" s="165"/>
      <c r="AC160" s="165"/>
      <c r="AD160" s="165"/>
      <c r="AE160" s="165"/>
      <c r="AF160" s="160"/>
      <c r="AG160" s="160">
        <v>10.0425</v>
      </c>
      <c r="AH160" s="160"/>
      <c r="AI160" s="160"/>
      <c r="AJ160" s="161"/>
      <c r="AK160" s="162"/>
      <c r="AL160" s="165"/>
      <c r="AM160" s="166"/>
      <c r="AN160" s="165"/>
      <c r="AO160" s="160"/>
      <c r="AP160" s="162"/>
      <c r="AQ160" s="161"/>
      <c r="AR160" s="162"/>
      <c r="AS160" s="161"/>
      <c r="AT160" s="165"/>
      <c r="AU160" s="166"/>
      <c r="AV160" s="165"/>
      <c r="AW160" s="166">
        <v>187.36131</v>
      </c>
      <c r="AX160" s="165">
        <f>18.97947+55.96507</f>
        <v>74.944539999999989</v>
      </c>
      <c r="AY160" s="165"/>
      <c r="AZ160" s="165"/>
      <c r="BA160" s="165"/>
      <c r="BB160" s="166"/>
      <c r="BC160" s="165"/>
      <c r="BD160" s="165"/>
      <c r="BE160" s="165">
        <v>684.505</v>
      </c>
      <c r="BF160" s="165"/>
      <c r="BG160" s="165"/>
      <c r="BH160" s="165"/>
      <c r="BI160" s="165"/>
      <c r="BJ160" s="166"/>
      <c r="BK160" s="165"/>
      <c r="BL160" s="165"/>
      <c r="BM160" s="163"/>
      <c r="BN160" s="165"/>
      <c r="BO160" s="165"/>
      <c r="BP160" s="165"/>
      <c r="BQ160" s="167"/>
    </row>
    <row r="161" spans="1:270" ht="39.950000000000003" customHeight="1" outlineLevel="1" x14ac:dyDescent="0.3">
      <c r="A161" s="17" t="s">
        <v>225</v>
      </c>
      <c r="B161" s="14" t="s">
        <v>240</v>
      </c>
      <c r="C161" s="9" t="s">
        <v>30</v>
      </c>
      <c r="D161" s="66" t="s">
        <v>241</v>
      </c>
      <c r="E161" s="158">
        <f t="shared" si="26"/>
        <v>1662.8584000000001</v>
      </c>
      <c r="F161" s="159">
        <f t="shared" si="27"/>
        <v>1168.5072400000001</v>
      </c>
      <c r="G161" s="160">
        <f t="shared" si="28"/>
        <v>494.35116000000005</v>
      </c>
      <c r="H161" s="166">
        <v>1083.5395100000001</v>
      </c>
      <c r="I161" s="165">
        <v>361.17984000000001</v>
      </c>
      <c r="J161" s="160"/>
      <c r="K161" s="160"/>
      <c r="L161" s="166">
        <v>84.967730000000003</v>
      </c>
      <c r="M161" s="165">
        <v>133.17132000000001</v>
      </c>
      <c r="N161" s="165"/>
      <c r="O161" s="165"/>
      <c r="P161" s="160"/>
      <c r="Q161" s="166"/>
      <c r="R161" s="165"/>
      <c r="S161" s="165"/>
      <c r="T161" s="159"/>
      <c r="U161" s="160"/>
      <c r="V161" s="165"/>
      <c r="W161" s="165"/>
      <c r="X161" s="160"/>
      <c r="Y161" s="166"/>
      <c r="Z161" s="160"/>
      <c r="AA161" s="160"/>
      <c r="AB161" s="165"/>
      <c r="AC161" s="165"/>
      <c r="AD161" s="165"/>
      <c r="AE161" s="165"/>
      <c r="AF161" s="160"/>
      <c r="AG161" s="160"/>
      <c r="AH161" s="160"/>
      <c r="AI161" s="160"/>
      <c r="AJ161" s="161"/>
      <c r="AK161" s="162"/>
      <c r="AL161" s="165"/>
      <c r="AM161" s="166"/>
      <c r="AN161" s="165"/>
      <c r="AO161" s="160"/>
      <c r="AP161" s="162"/>
      <c r="AQ161" s="161"/>
      <c r="AR161" s="162"/>
      <c r="AS161" s="161"/>
      <c r="AT161" s="165"/>
      <c r="AU161" s="166"/>
      <c r="AV161" s="165"/>
      <c r="AW161" s="166"/>
      <c r="AX161" s="165"/>
      <c r="AY161" s="165"/>
      <c r="AZ161" s="165"/>
      <c r="BA161" s="165"/>
      <c r="BB161" s="166"/>
      <c r="BC161" s="165"/>
      <c r="BD161" s="165"/>
      <c r="BE161" s="165"/>
      <c r="BF161" s="165"/>
      <c r="BG161" s="165"/>
      <c r="BH161" s="165"/>
      <c r="BI161" s="165"/>
      <c r="BJ161" s="166"/>
      <c r="BK161" s="165"/>
      <c r="BL161" s="165"/>
      <c r="BM161" s="163"/>
      <c r="BN161" s="165"/>
      <c r="BO161" s="165"/>
      <c r="BP161" s="165"/>
      <c r="BQ161" s="167"/>
    </row>
    <row r="162" spans="1:270" ht="39.950000000000003" customHeight="1" outlineLevel="1" x14ac:dyDescent="0.3">
      <c r="A162" s="17" t="s">
        <v>225</v>
      </c>
      <c r="B162" s="14" t="s">
        <v>1149</v>
      </c>
      <c r="C162" s="9" t="s">
        <v>30</v>
      </c>
      <c r="D162" s="66" t="s">
        <v>1176</v>
      </c>
      <c r="E162" s="158">
        <f t="shared" si="26"/>
        <v>49.92</v>
      </c>
      <c r="F162" s="159">
        <f t="shared" si="27"/>
        <v>0</v>
      </c>
      <c r="G162" s="160">
        <f t="shared" si="28"/>
        <v>49.92</v>
      </c>
      <c r="H162" s="166"/>
      <c r="I162" s="165"/>
      <c r="J162" s="160"/>
      <c r="K162" s="160"/>
      <c r="L162" s="166"/>
      <c r="M162" s="165"/>
      <c r="N162" s="165"/>
      <c r="O162" s="165"/>
      <c r="P162" s="160"/>
      <c r="Q162" s="166"/>
      <c r="R162" s="165"/>
      <c r="S162" s="165"/>
      <c r="T162" s="159"/>
      <c r="U162" s="160"/>
      <c r="V162" s="165"/>
      <c r="W162" s="165">
        <v>49.92</v>
      </c>
      <c r="X162" s="160"/>
      <c r="Y162" s="166"/>
      <c r="Z162" s="160"/>
      <c r="AA162" s="160"/>
      <c r="AB162" s="165"/>
      <c r="AC162" s="165"/>
      <c r="AD162" s="165"/>
      <c r="AE162" s="165"/>
      <c r="AF162" s="160"/>
      <c r="AG162" s="160"/>
      <c r="AH162" s="160"/>
      <c r="AI162" s="160"/>
      <c r="AJ162" s="161"/>
      <c r="AK162" s="162"/>
      <c r="AL162" s="165"/>
      <c r="AM162" s="166"/>
      <c r="AN162" s="165"/>
      <c r="AO162" s="160"/>
      <c r="AP162" s="162"/>
      <c r="AQ162" s="161"/>
      <c r="AR162" s="162"/>
      <c r="AS162" s="161"/>
      <c r="AT162" s="165"/>
      <c r="AU162" s="166"/>
      <c r="AV162" s="165"/>
      <c r="AW162" s="166"/>
      <c r="AX162" s="165"/>
      <c r="AY162" s="165"/>
      <c r="AZ162" s="165"/>
      <c r="BA162" s="165"/>
      <c r="BB162" s="166"/>
      <c r="BC162" s="165"/>
      <c r="BD162" s="165"/>
      <c r="BE162" s="165"/>
      <c r="BF162" s="165"/>
      <c r="BG162" s="165"/>
      <c r="BH162" s="165"/>
      <c r="BI162" s="165"/>
      <c r="BJ162" s="166"/>
      <c r="BK162" s="165"/>
      <c r="BL162" s="165"/>
      <c r="BM162" s="163"/>
      <c r="BN162" s="165"/>
      <c r="BO162" s="165"/>
      <c r="BP162" s="165"/>
      <c r="BQ162" s="167"/>
    </row>
    <row r="163" spans="1:270" ht="39.950000000000003" customHeight="1" outlineLevel="1" x14ac:dyDescent="0.3">
      <c r="A163" s="17" t="s">
        <v>225</v>
      </c>
      <c r="B163" s="14" t="s">
        <v>242</v>
      </c>
      <c r="C163" s="9" t="s">
        <v>30</v>
      </c>
      <c r="D163" s="66" t="s">
        <v>243</v>
      </c>
      <c r="E163" s="158">
        <f t="shared" si="26"/>
        <v>1748.0420199999999</v>
      </c>
      <c r="F163" s="159">
        <f t="shared" si="27"/>
        <v>445.88499999999999</v>
      </c>
      <c r="G163" s="160">
        <f t="shared" si="28"/>
        <v>1302.1570199999999</v>
      </c>
      <c r="H163" s="166"/>
      <c r="I163" s="165"/>
      <c r="J163" s="160"/>
      <c r="K163" s="160"/>
      <c r="L163" s="166">
        <v>108.26653</v>
      </c>
      <c r="M163" s="165">
        <v>169.68792999999999</v>
      </c>
      <c r="N163" s="165"/>
      <c r="O163" s="165"/>
      <c r="P163" s="160"/>
      <c r="Q163" s="166"/>
      <c r="R163" s="165"/>
      <c r="S163" s="165"/>
      <c r="T163" s="159"/>
      <c r="U163" s="160"/>
      <c r="V163" s="165"/>
      <c r="W163" s="165"/>
      <c r="X163" s="160"/>
      <c r="Y163" s="166">
        <v>155.25899999999999</v>
      </c>
      <c r="Z163" s="160">
        <v>51.753</v>
      </c>
      <c r="AA163" s="160">
        <v>701.32231999999999</v>
      </c>
      <c r="AB163" s="165"/>
      <c r="AC163" s="165"/>
      <c r="AD163" s="165"/>
      <c r="AE163" s="165"/>
      <c r="AF163" s="160"/>
      <c r="AG163" s="160"/>
      <c r="AH163" s="160"/>
      <c r="AI163" s="160"/>
      <c r="AJ163" s="161"/>
      <c r="AK163" s="162"/>
      <c r="AL163" s="165"/>
      <c r="AM163" s="166"/>
      <c r="AN163" s="165"/>
      <c r="AO163" s="160"/>
      <c r="AP163" s="162"/>
      <c r="AQ163" s="161"/>
      <c r="AR163" s="162"/>
      <c r="AS163" s="161"/>
      <c r="AT163" s="165"/>
      <c r="AU163" s="166"/>
      <c r="AV163" s="165"/>
      <c r="AW163" s="166">
        <v>182.35946999999999</v>
      </c>
      <c r="AX163" s="165">
        <f>18.47276+54.47101</f>
        <v>72.943770000000001</v>
      </c>
      <c r="AY163" s="165"/>
      <c r="AZ163" s="165"/>
      <c r="BA163" s="165"/>
      <c r="BB163" s="166"/>
      <c r="BC163" s="165"/>
      <c r="BD163" s="165"/>
      <c r="BE163" s="165"/>
      <c r="BF163" s="165"/>
      <c r="BG163" s="165">
        <v>306.45</v>
      </c>
      <c r="BH163" s="165"/>
      <c r="BI163" s="165"/>
      <c r="BJ163" s="166"/>
      <c r="BK163" s="165"/>
      <c r="BL163" s="165"/>
      <c r="BM163" s="163"/>
      <c r="BN163" s="165"/>
      <c r="BO163" s="165"/>
      <c r="BP163" s="165"/>
      <c r="BQ163" s="167"/>
    </row>
    <row r="164" spans="1:270" ht="39.950000000000003" customHeight="1" outlineLevel="1" x14ac:dyDescent="0.3">
      <c r="A164" s="17" t="s">
        <v>225</v>
      </c>
      <c r="B164" s="14" t="s">
        <v>246</v>
      </c>
      <c r="C164" s="9" t="s">
        <v>30</v>
      </c>
      <c r="D164" s="66" t="s">
        <v>247</v>
      </c>
      <c r="E164" s="158">
        <f t="shared" si="26"/>
        <v>83.019390000000016</v>
      </c>
      <c r="F164" s="159">
        <f t="shared" si="27"/>
        <v>13.9308</v>
      </c>
      <c r="G164" s="160">
        <f t="shared" si="28"/>
        <v>69.088590000000011</v>
      </c>
      <c r="H164" s="166"/>
      <c r="I164" s="165"/>
      <c r="J164" s="160"/>
      <c r="K164" s="160"/>
      <c r="L164" s="166"/>
      <c r="M164" s="165"/>
      <c r="N164" s="165"/>
      <c r="O164" s="165"/>
      <c r="P164" s="160"/>
      <c r="Q164" s="166"/>
      <c r="R164" s="165"/>
      <c r="S164" s="165"/>
      <c r="T164" s="159"/>
      <c r="U164" s="160"/>
      <c r="V164" s="165"/>
      <c r="W164" s="165"/>
      <c r="X164" s="160"/>
      <c r="Y164" s="166">
        <v>13.9308</v>
      </c>
      <c r="Z164" s="160">
        <v>4.6436000000000002</v>
      </c>
      <c r="AA164" s="160">
        <v>64.444990000000004</v>
      </c>
      <c r="AB164" s="165"/>
      <c r="AC164" s="165"/>
      <c r="AD164" s="165"/>
      <c r="AE164" s="165"/>
      <c r="AF164" s="160"/>
      <c r="AG164" s="160"/>
      <c r="AH164" s="160"/>
      <c r="AI164" s="160"/>
      <c r="AJ164" s="161"/>
      <c r="AK164" s="162"/>
      <c r="AL164" s="165"/>
      <c r="AM164" s="166"/>
      <c r="AN164" s="165"/>
      <c r="AO164" s="160"/>
      <c r="AP164" s="162"/>
      <c r="AQ164" s="161"/>
      <c r="AR164" s="162"/>
      <c r="AS164" s="161"/>
      <c r="AT164" s="165"/>
      <c r="AU164" s="166"/>
      <c r="AV164" s="165"/>
      <c r="AW164" s="166"/>
      <c r="AX164" s="165"/>
      <c r="AY164" s="165"/>
      <c r="AZ164" s="165"/>
      <c r="BA164" s="165"/>
      <c r="BB164" s="166"/>
      <c r="BC164" s="165"/>
      <c r="BD164" s="165"/>
      <c r="BE164" s="165"/>
      <c r="BF164" s="165"/>
      <c r="BG164" s="165"/>
      <c r="BH164" s="165"/>
      <c r="BI164" s="165"/>
      <c r="BJ164" s="166"/>
      <c r="BK164" s="165"/>
      <c r="BL164" s="165"/>
      <c r="BM164" s="163"/>
      <c r="BN164" s="165"/>
      <c r="BO164" s="165"/>
      <c r="BP164" s="165"/>
      <c r="BQ164" s="167"/>
    </row>
    <row r="165" spans="1:270" ht="39.950000000000003" customHeight="1" outlineLevel="1" x14ac:dyDescent="0.3">
      <c r="A165" s="17" t="s">
        <v>225</v>
      </c>
      <c r="B165" s="14" t="s">
        <v>244</v>
      </c>
      <c r="C165" s="9" t="s">
        <v>30</v>
      </c>
      <c r="D165" s="66" t="s">
        <v>245</v>
      </c>
      <c r="E165" s="158">
        <f t="shared" si="26"/>
        <v>2505.8199</v>
      </c>
      <c r="F165" s="159">
        <f t="shared" si="27"/>
        <v>82.220359999999999</v>
      </c>
      <c r="G165" s="160">
        <f t="shared" si="28"/>
        <v>2423.5995400000002</v>
      </c>
      <c r="H165" s="166"/>
      <c r="I165" s="165"/>
      <c r="J165" s="160"/>
      <c r="K165" s="160"/>
      <c r="L165" s="166">
        <v>39.764360000000003</v>
      </c>
      <c r="M165" s="165">
        <v>62.323329999999999</v>
      </c>
      <c r="N165" s="165"/>
      <c r="O165" s="165"/>
      <c r="P165" s="160"/>
      <c r="Q165" s="166"/>
      <c r="R165" s="165"/>
      <c r="S165" s="165"/>
      <c r="T165" s="159"/>
      <c r="U165" s="160"/>
      <c r="V165" s="165"/>
      <c r="W165" s="165"/>
      <c r="X165" s="160"/>
      <c r="Y165" s="166">
        <v>42.456000000000003</v>
      </c>
      <c r="Z165" s="160">
        <v>14.151999999999999</v>
      </c>
      <c r="AA165" s="160">
        <v>182.12421000000001</v>
      </c>
      <c r="AB165" s="165"/>
      <c r="AC165" s="165"/>
      <c r="AD165" s="165"/>
      <c r="AE165" s="165"/>
      <c r="AF165" s="160"/>
      <c r="AG165" s="160"/>
      <c r="AH165" s="160"/>
      <c r="AI165" s="160"/>
      <c r="AJ165" s="161"/>
      <c r="AK165" s="166"/>
      <c r="AL165" s="165"/>
      <c r="AM165" s="166"/>
      <c r="AN165" s="165"/>
      <c r="AO165" s="160"/>
      <c r="AP165" s="162"/>
      <c r="AQ165" s="161"/>
      <c r="AR165" s="162"/>
      <c r="AS165" s="161"/>
      <c r="AT165" s="165"/>
      <c r="AU165" s="166"/>
      <c r="AV165" s="165"/>
      <c r="AW165" s="166"/>
      <c r="AX165" s="165"/>
      <c r="AY165" s="165"/>
      <c r="AZ165" s="165"/>
      <c r="BA165" s="165"/>
      <c r="BB165" s="166"/>
      <c r="BC165" s="165"/>
      <c r="BD165" s="165"/>
      <c r="BE165" s="165"/>
      <c r="BF165" s="165"/>
      <c r="BG165" s="165"/>
      <c r="BH165" s="165">
        <v>2165</v>
      </c>
      <c r="BI165" s="165"/>
      <c r="BJ165" s="166"/>
      <c r="BK165" s="165"/>
      <c r="BL165" s="165"/>
      <c r="BM165" s="163"/>
      <c r="BN165" s="165"/>
      <c r="BO165" s="165"/>
      <c r="BP165" s="165"/>
      <c r="BQ165" s="167"/>
    </row>
    <row r="166" spans="1:270" ht="39.950000000000003" customHeight="1" outlineLevel="1" x14ac:dyDescent="0.3">
      <c r="A166" s="17" t="s">
        <v>225</v>
      </c>
      <c r="B166" s="10" t="s">
        <v>248</v>
      </c>
      <c r="C166" s="9" t="s">
        <v>30</v>
      </c>
      <c r="D166" s="66" t="s">
        <v>249</v>
      </c>
      <c r="E166" s="158">
        <f t="shared" si="26"/>
        <v>26.58137</v>
      </c>
      <c r="F166" s="159">
        <f t="shared" si="27"/>
        <v>10.353759999999999</v>
      </c>
      <c r="G166" s="160">
        <f t="shared" si="28"/>
        <v>16.227609999999999</v>
      </c>
      <c r="H166" s="166"/>
      <c r="I166" s="165"/>
      <c r="J166" s="160"/>
      <c r="K166" s="160"/>
      <c r="L166" s="166">
        <v>10.353759999999999</v>
      </c>
      <c r="M166" s="165">
        <v>16.227609999999999</v>
      </c>
      <c r="N166" s="165"/>
      <c r="O166" s="165"/>
      <c r="P166" s="160"/>
      <c r="Q166" s="166"/>
      <c r="R166" s="165"/>
      <c r="S166" s="165"/>
      <c r="T166" s="159"/>
      <c r="U166" s="160"/>
      <c r="V166" s="165"/>
      <c r="W166" s="165"/>
      <c r="X166" s="160"/>
      <c r="Y166" s="166"/>
      <c r="Z166" s="160"/>
      <c r="AA166" s="160"/>
      <c r="AB166" s="165"/>
      <c r="AC166" s="165"/>
      <c r="AD166" s="165"/>
      <c r="AE166" s="165"/>
      <c r="AF166" s="160"/>
      <c r="AG166" s="160"/>
      <c r="AH166" s="160"/>
      <c r="AI166" s="160"/>
      <c r="AJ166" s="161"/>
      <c r="AK166" s="162"/>
      <c r="AL166" s="165"/>
      <c r="AM166" s="166"/>
      <c r="AN166" s="165"/>
      <c r="AO166" s="160"/>
      <c r="AP166" s="162"/>
      <c r="AQ166" s="161"/>
      <c r="AR166" s="162"/>
      <c r="AS166" s="161"/>
      <c r="AT166" s="165"/>
      <c r="AU166" s="166"/>
      <c r="AV166" s="165"/>
      <c r="AW166" s="166"/>
      <c r="AX166" s="165"/>
      <c r="AY166" s="165"/>
      <c r="AZ166" s="165"/>
      <c r="BA166" s="165"/>
      <c r="BB166" s="166"/>
      <c r="BC166" s="165"/>
      <c r="BD166" s="165"/>
      <c r="BE166" s="165"/>
      <c r="BF166" s="165"/>
      <c r="BG166" s="165"/>
      <c r="BH166" s="165"/>
      <c r="BI166" s="165"/>
      <c r="BJ166" s="166"/>
      <c r="BK166" s="165"/>
      <c r="BL166" s="165"/>
      <c r="BM166" s="163"/>
      <c r="BN166" s="165"/>
      <c r="BO166" s="165"/>
      <c r="BP166" s="165"/>
      <c r="BQ166" s="167"/>
    </row>
    <row r="167" spans="1:270" ht="39.950000000000003" customHeight="1" outlineLevel="1" x14ac:dyDescent="0.3">
      <c r="A167" s="17" t="s">
        <v>1333</v>
      </c>
      <c r="B167" s="14" t="s">
        <v>256</v>
      </c>
      <c r="C167" s="9" t="s">
        <v>30</v>
      </c>
      <c r="D167" s="66">
        <v>246605348660</v>
      </c>
      <c r="E167" s="158">
        <f t="shared" si="26"/>
        <v>6508.8392899999999</v>
      </c>
      <c r="F167" s="159">
        <f t="shared" si="27"/>
        <v>296.86451999999997</v>
      </c>
      <c r="G167" s="160">
        <f t="shared" si="28"/>
        <v>6211.9747699999998</v>
      </c>
      <c r="H167" s="166">
        <v>205.27500000000001</v>
      </c>
      <c r="I167" s="165">
        <v>68.424999999999997</v>
      </c>
      <c r="J167" s="160"/>
      <c r="K167" s="160"/>
      <c r="L167" s="166">
        <v>91.589519999999993</v>
      </c>
      <c r="M167" s="165">
        <v>143.54977</v>
      </c>
      <c r="N167" s="165"/>
      <c r="O167" s="165"/>
      <c r="P167" s="160"/>
      <c r="Q167" s="166"/>
      <c r="R167" s="165"/>
      <c r="S167" s="165"/>
      <c r="T167" s="159"/>
      <c r="U167" s="160"/>
      <c r="V167" s="165"/>
      <c r="W167" s="165"/>
      <c r="X167" s="160"/>
      <c r="Y167" s="166"/>
      <c r="Z167" s="160"/>
      <c r="AA167" s="160"/>
      <c r="AB167" s="165"/>
      <c r="AC167" s="165"/>
      <c r="AD167" s="165"/>
      <c r="AE167" s="165"/>
      <c r="AF167" s="160"/>
      <c r="AG167" s="160"/>
      <c r="AH167" s="160"/>
      <c r="AI167" s="160"/>
      <c r="AJ167" s="161"/>
      <c r="AK167" s="162"/>
      <c r="AL167" s="165"/>
      <c r="AM167" s="166"/>
      <c r="AN167" s="165"/>
      <c r="AO167" s="160"/>
      <c r="AP167" s="162"/>
      <c r="AQ167" s="161"/>
      <c r="AR167" s="162"/>
      <c r="AS167" s="161"/>
      <c r="AT167" s="165"/>
      <c r="AU167" s="166"/>
      <c r="AV167" s="165"/>
      <c r="AW167" s="166"/>
      <c r="AX167" s="165"/>
      <c r="AY167" s="165"/>
      <c r="AZ167" s="165"/>
      <c r="BA167" s="165"/>
      <c r="BB167" s="166"/>
      <c r="BC167" s="165"/>
      <c r="BD167" s="165"/>
      <c r="BE167" s="165"/>
      <c r="BF167" s="165"/>
      <c r="BG167" s="165"/>
      <c r="BH167" s="165">
        <v>6000</v>
      </c>
      <c r="BI167" s="165"/>
      <c r="BJ167" s="166"/>
      <c r="BK167" s="165"/>
      <c r="BL167" s="165"/>
      <c r="BM167" s="163"/>
      <c r="BN167" s="165"/>
      <c r="BO167" s="165"/>
      <c r="BP167" s="165"/>
      <c r="BQ167" s="167"/>
    </row>
    <row r="168" spans="1:270" ht="39.950000000000003" customHeight="1" outlineLevel="1" x14ac:dyDescent="0.3">
      <c r="A168" s="17" t="s">
        <v>225</v>
      </c>
      <c r="B168" s="14" t="s">
        <v>252</v>
      </c>
      <c r="C168" s="9" t="s">
        <v>30</v>
      </c>
      <c r="D168" s="66" t="s">
        <v>253</v>
      </c>
      <c r="E168" s="158">
        <f t="shared" si="26"/>
        <v>187.37817999999999</v>
      </c>
      <c r="F168" s="159">
        <f t="shared" si="27"/>
        <v>72.986000000000004</v>
      </c>
      <c r="G168" s="160">
        <f t="shared" si="28"/>
        <v>114.39218</v>
      </c>
      <c r="H168" s="166"/>
      <c r="I168" s="165"/>
      <c r="J168" s="160"/>
      <c r="K168" s="160"/>
      <c r="L168" s="166">
        <v>72.986000000000004</v>
      </c>
      <c r="M168" s="165">
        <v>114.39218</v>
      </c>
      <c r="N168" s="165"/>
      <c r="O168" s="165"/>
      <c r="P168" s="160"/>
      <c r="Q168" s="166"/>
      <c r="R168" s="165"/>
      <c r="S168" s="165"/>
      <c r="T168" s="159"/>
      <c r="U168" s="160"/>
      <c r="V168" s="165"/>
      <c r="W168" s="165"/>
      <c r="X168" s="160"/>
      <c r="Y168" s="166"/>
      <c r="Z168" s="160"/>
      <c r="AA168" s="160"/>
      <c r="AB168" s="165"/>
      <c r="AC168" s="165"/>
      <c r="AD168" s="165"/>
      <c r="AE168" s="165"/>
      <c r="AF168" s="160"/>
      <c r="AG168" s="160"/>
      <c r="AH168" s="160"/>
      <c r="AI168" s="160"/>
      <c r="AJ168" s="161"/>
      <c r="AK168" s="162"/>
      <c r="AL168" s="165"/>
      <c r="AM168" s="166"/>
      <c r="AN168" s="165"/>
      <c r="AO168" s="160"/>
      <c r="AP168" s="162"/>
      <c r="AQ168" s="161"/>
      <c r="AR168" s="162"/>
      <c r="AS168" s="161"/>
      <c r="AT168" s="165"/>
      <c r="AU168" s="166"/>
      <c r="AV168" s="165"/>
      <c r="AW168" s="166"/>
      <c r="AX168" s="165"/>
      <c r="AY168" s="165"/>
      <c r="AZ168" s="165"/>
      <c r="BA168" s="165"/>
      <c r="BB168" s="166"/>
      <c r="BC168" s="165"/>
      <c r="BD168" s="165"/>
      <c r="BE168" s="165"/>
      <c r="BF168" s="165"/>
      <c r="BG168" s="165"/>
      <c r="BH168" s="165"/>
      <c r="BI168" s="165"/>
      <c r="BJ168" s="166"/>
      <c r="BK168" s="165"/>
      <c r="BL168" s="165"/>
      <c r="BM168" s="163"/>
      <c r="BN168" s="165"/>
      <c r="BO168" s="165"/>
      <c r="BP168" s="165"/>
      <c r="BQ168" s="167"/>
    </row>
    <row r="169" spans="1:270" ht="39.950000000000003" customHeight="1" outlineLevel="1" x14ac:dyDescent="0.3">
      <c r="A169" s="17" t="s">
        <v>225</v>
      </c>
      <c r="B169" s="10" t="s">
        <v>250</v>
      </c>
      <c r="C169" s="21" t="s">
        <v>30</v>
      </c>
      <c r="D169" s="67" t="s">
        <v>251</v>
      </c>
      <c r="E169" s="158">
        <f t="shared" si="26"/>
        <v>826.28746999999998</v>
      </c>
      <c r="F169" s="159">
        <f t="shared" si="27"/>
        <v>47.752299999999998</v>
      </c>
      <c r="G169" s="160">
        <f t="shared" si="28"/>
        <v>778.53516999999999</v>
      </c>
      <c r="H169" s="166"/>
      <c r="I169" s="165"/>
      <c r="J169" s="160"/>
      <c r="K169" s="160"/>
      <c r="L169" s="166"/>
      <c r="M169" s="165"/>
      <c r="N169" s="165"/>
      <c r="O169" s="165"/>
      <c r="P169" s="160"/>
      <c r="Q169" s="166"/>
      <c r="R169" s="165"/>
      <c r="S169" s="165"/>
      <c r="T169" s="159"/>
      <c r="U169" s="160"/>
      <c r="V169" s="165"/>
      <c r="W169" s="165"/>
      <c r="X169" s="160"/>
      <c r="Y169" s="166">
        <v>47.752299999999998</v>
      </c>
      <c r="Z169" s="160">
        <v>15.917439999999999</v>
      </c>
      <c r="AA169" s="160">
        <v>184.54434000000001</v>
      </c>
      <c r="AB169" s="165"/>
      <c r="AC169" s="165"/>
      <c r="AD169" s="165"/>
      <c r="AE169" s="165"/>
      <c r="AF169" s="160"/>
      <c r="AG169" s="160"/>
      <c r="AH169" s="160"/>
      <c r="AI169" s="160"/>
      <c r="AJ169" s="161"/>
      <c r="AK169" s="162"/>
      <c r="AL169" s="165"/>
      <c r="AM169" s="166"/>
      <c r="AN169" s="165"/>
      <c r="AO169" s="160"/>
      <c r="AP169" s="162"/>
      <c r="AQ169" s="161"/>
      <c r="AR169" s="162"/>
      <c r="AS169" s="161"/>
      <c r="AT169" s="165"/>
      <c r="AU169" s="166"/>
      <c r="AV169" s="165"/>
      <c r="AW169" s="166"/>
      <c r="AX169" s="165"/>
      <c r="AY169" s="165"/>
      <c r="AZ169" s="165"/>
      <c r="BA169" s="165"/>
      <c r="BB169" s="166"/>
      <c r="BC169" s="165"/>
      <c r="BD169" s="165"/>
      <c r="BE169" s="165"/>
      <c r="BF169" s="165">
        <v>578.07339000000002</v>
      </c>
      <c r="BG169" s="165"/>
      <c r="BH169" s="165"/>
      <c r="BI169" s="165"/>
      <c r="BJ169" s="166"/>
      <c r="BK169" s="165"/>
      <c r="BL169" s="165"/>
      <c r="BM169" s="163"/>
      <c r="BN169" s="165"/>
      <c r="BO169" s="165"/>
      <c r="BP169" s="165"/>
      <c r="BQ169" s="167"/>
    </row>
    <row r="170" spans="1:270" ht="39.950000000000003" customHeight="1" outlineLevel="1" x14ac:dyDescent="0.3">
      <c r="A170" s="11" t="s">
        <v>227</v>
      </c>
      <c r="B170" s="14" t="s">
        <v>1469</v>
      </c>
      <c r="C170" s="9" t="s">
        <v>30</v>
      </c>
      <c r="D170" s="66" t="s">
        <v>1175</v>
      </c>
      <c r="E170" s="158">
        <f t="shared" si="26"/>
        <v>213.82645000000002</v>
      </c>
      <c r="F170" s="159">
        <f t="shared" si="27"/>
        <v>83.28792</v>
      </c>
      <c r="G170" s="160">
        <f t="shared" si="28"/>
        <v>130.53853000000001</v>
      </c>
      <c r="H170" s="166"/>
      <c r="I170" s="165"/>
      <c r="J170" s="160"/>
      <c r="K170" s="160"/>
      <c r="L170" s="166">
        <v>83.28792</v>
      </c>
      <c r="M170" s="165">
        <v>130.53853000000001</v>
      </c>
      <c r="N170" s="165"/>
      <c r="O170" s="165"/>
      <c r="P170" s="160"/>
      <c r="Q170" s="166"/>
      <c r="R170" s="165"/>
      <c r="S170" s="165"/>
      <c r="T170" s="159"/>
      <c r="U170" s="160"/>
      <c r="V170" s="165"/>
      <c r="W170" s="165"/>
      <c r="X170" s="160"/>
      <c r="Y170" s="166"/>
      <c r="Z170" s="160"/>
      <c r="AA170" s="160"/>
      <c r="AB170" s="165"/>
      <c r="AC170" s="165"/>
      <c r="AD170" s="165"/>
      <c r="AE170" s="165"/>
      <c r="AF170" s="160"/>
      <c r="AG170" s="160"/>
      <c r="AH170" s="160"/>
      <c r="AI170" s="160"/>
      <c r="AJ170" s="161"/>
      <c r="AK170" s="162"/>
      <c r="AL170" s="165"/>
      <c r="AM170" s="166"/>
      <c r="AN170" s="165"/>
      <c r="AO170" s="160"/>
      <c r="AP170" s="162"/>
      <c r="AQ170" s="161"/>
      <c r="AR170" s="162"/>
      <c r="AS170" s="161"/>
      <c r="AT170" s="165"/>
      <c r="AU170" s="166"/>
      <c r="AV170" s="165"/>
      <c r="AW170" s="166"/>
      <c r="AX170" s="165"/>
      <c r="AY170" s="165"/>
      <c r="AZ170" s="165"/>
      <c r="BA170" s="165"/>
      <c r="BB170" s="166"/>
      <c r="BC170" s="165"/>
      <c r="BD170" s="165"/>
      <c r="BE170" s="165"/>
      <c r="BF170" s="165"/>
      <c r="BG170" s="165"/>
      <c r="BH170" s="165"/>
      <c r="BI170" s="165"/>
      <c r="BJ170" s="166"/>
      <c r="BK170" s="165"/>
      <c r="BL170" s="165"/>
      <c r="BM170" s="163"/>
      <c r="BN170" s="165"/>
      <c r="BO170" s="165"/>
      <c r="BP170" s="165"/>
      <c r="BQ170" s="167"/>
    </row>
    <row r="171" spans="1:270" ht="39.950000000000003" customHeight="1" outlineLevel="1" x14ac:dyDescent="0.3">
      <c r="A171" s="17" t="s">
        <v>225</v>
      </c>
      <c r="B171" s="12" t="s">
        <v>226</v>
      </c>
      <c r="C171" s="9" t="s">
        <v>6</v>
      </c>
      <c r="D171" s="66" t="s">
        <v>1174</v>
      </c>
      <c r="E171" s="158">
        <f t="shared" si="26"/>
        <v>39142.575049999999</v>
      </c>
      <c r="F171" s="159">
        <f t="shared" si="27"/>
        <v>18216.935379999999</v>
      </c>
      <c r="G171" s="160">
        <f t="shared" si="28"/>
        <v>20925.63967</v>
      </c>
      <c r="H171" s="166">
        <v>811.22099000000003</v>
      </c>
      <c r="I171" s="165">
        <v>270.40699000000001</v>
      </c>
      <c r="J171" s="160"/>
      <c r="K171" s="160"/>
      <c r="L171" s="166"/>
      <c r="M171" s="165"/>
      <c r="N171" s="165"/>
      <c r="O171" s="165"/>
      <c r="P171" s="160"/>
      <c r="Q171" s="166"/>
      <c r="R171" s="165"/>
      <c r="S171" s="165"/>
      <c r="T171" s="159">
        <v>3557.09854</v>
      </c>
      <c r="U171" s="160">
        <v>1185.6995099999999</v>
      </c>
      <c r="V171" s="165"/>
      <c r="W171" s="165"/>
      <c r="X171" s="160"/>
      <c r="Y171" s="166"/>
      <c r="Z171" s="160"/>
      <c r="AA171" s="160"/>
      <c r="AB171" s="165"/>
      <c r="AC171" s="165"/>
      <c r="AD171" s="165"/>
      <c r="AE171" s="165"/>
      <c r="AF171" s="160"/>
      <c r="AG171" s="160"/>
      <c r="AH171" s="160"/>
      <c r="AI171" s="160"/>
      <c r="AJ171" s="161"/>
      <c r="AK171" s="162"/>
      <c r="AL171" s="165"/>
      <c r="AM171" s="166"/>
      <c r="AN171" s="165"/>
      <c r="AO171" s="160"/>
      <c r="AP171" s="162"/>
      <c r="AQ171" s="161"/>
      <c r="AR171" s="162"/>
      <c r="AS171" s="161"/>
      <c r="AT171" s="165"/>
      <c r="AU171" s="166"/>
      <c r="AV171" s="165"/>
      <c r="AW171" s="166">
        <v>13848.61585</v>
      </c>
      <c r="AX171" s="160">
        <f>4952.23713+4136.59954</f>
        <v>9088.8366700000006</v>
      </c>
      <c r="AY171" s="160"/>
      <c r="AZ171" s="165">
        <v>8922.3279999999995</v>
      </c>
      <c r="BA171" s="165"/>
      <c r="BB171" s="166"/>
      <c r="BC171" s="165"/>
      <c r="BD171" s="165"/>
      <c r="BE171" s="165">
        <v>1458.3685</v>
      </c>
      <c r="BF171" s="165"/>
      <c r="BG171" s="165"/>
      <c r="BH171" s="165"/>
      <c r="BI171" s="165"/>
      <c r="BJ171" s="166"/>
      <c r="BK171" s="165"/>
      <c r="BL171" s="165"/>
      <c r="BM171" s="163"/>
      <c r="BN171" s="165"/>
      <c r="BO171" s="165"/>
      <c r="BP171" s="165"/>
      <c r="BQ171" s="167"/>
    </row>
    <row r="172" spans="1:270" ht="39.950000000000003" customHeight="1" outlineLevel="1" x14ac:dyDescent="0.3">
      <c r="A172" s="11" t="s">
        <v>227</v>
      </c>
      <c r="B172" s="12" t="s">
        <v>228</v>
      </c>
      <c r="C172" s="9" t="s">
        <v>6</v>
      </c>
      <c r="D172" s="66" t="s">
        <v>229</v>
      </c>
      <c r="E172" s="158">
        <f t="shared" si="26"/>
        <v>18016.864569999998</v>
      </c>
      <c r="F172" s="159">
        <f t="shared" si="27"/>
        <v>5590.9858800000002</v>
      </c>
      <c r="G172" s="160">
        <f t="shared" si="28"/>
        <v>12425.87869</v>
      </c>
      <c r="H172" s="166">
        <v>3935.06925</v>
      </c>
      <c r="I172" s="165">
        <v>1311.68975</v>
      </c>
      <c r="J172" s="160"/>
      <c r="K172" s="160"/>
      <c r="L172" s="166">
        <f>1226.30679+429.60984</f>
        <v>1655.9166300000002</v>
      </c>
      <c r="M172" s="165">
        <f>1922.01097+673.33463</f>
        <v>2595.3456000000001</v>
      </c>
      <c r="N172" s="165"/>
      <c r="O172" s="165"/>
      <c r="P172" s="160">
        <v>248.35764</v>
      </c>
      <c r="Q172" s="166"/>
      <c r="R172" s="165"/>
      <c r="S172" s="165"/>
      <c r="T172" s="159"/>
      <c r="U172" s="160"/>
      <c r="V172" s="165"/>
      <c r="W172" s="165"/>
      <c r="X172" s="160"/>
      <c r="Y172" s="166"/>
      <c r="Z172" s="160"/>
      <c r="AA172" s="160"/>
      <c r="AB172" s="165"/>
      <c r="AC172" s="165"/>
      <c r="AD172" s="165"/>
      <c r="AE172" s="165"/>
      <c r="AF172" s="160"/>
      <c r="AG172" s="160"/>
      <c r="AH172" s="160"/>
      <c r="AI172" s="160">
        <v>132.05631</v>
      </c>
      <c r="AJ172" s="161"/>
      <c r="AK172" s="162"/>
      <c r="AL172" s="165"/>
      <c r="AM172" s="166"/>
      <c r="AN172" s="165"/>
      <c r="AO172" s="160"/>
      <c r="AP172" s="162"/>
      <c r="AQ172" s="161"/>
      <c r="AR172" s="162"/>
      <c r="AS172" s="161"/>
      <c r="AT172" s="165"/>
      <c r="AU172" s="166"/>
      <c r="AV172" s="165"/>
      <c r="AW172" s="166"/>
      <c r="AX172" s="160"/>
      <c r="AY172" s="160"/>
      <c r="AZ172" s="165"/>
      <c r="BA172" s="165"/>
      <c r="BB172" s="166"/>
      <c r="BC172" s="165"/>
      <c r="BD172" s="165"/>
      <c r="BE172" s="165"/>
      <c r="BF172" s="165">
        <v>7849.71</v>
      </c>
      <c r="BG172" s="165"/>
      <c r="BH172" s="165"/>
      <c r="BI172" s="165"/>
      <c r="BJ172" s="166"/>
      <c r="BK172" s="165"/>
      <c r="BL172" s="165"/>
      <c r="BM172" s="163"/>
      <c r="BN172" s="165"/>
      <c r="BO172" s="165">
        <v>288.71938999999998</v>
      </c>
      <c r="BP172" s="165"/>
      <c r="BQ172" s="167"/>
    </row>
    <row r="173" spans="1:270" ht="39.950000000000003" customHeight="1" outlineLevel="1" x14ac:dyDescent="0.3">
      <c r="A173" s="17" t="s">
        <v>225</v>
      </c>
      <c r="B173" s="14" t="s">
        <v>232</v>
      </c>
      <c r="C173" s="9" t="s">
        <v>6</v>
      </c>
      <c r="D173" s="66" t="s">
        <v>233</v>
      </c>
      <c r="E173" s="158">
        <f t="shared" si="26"/>
        <v>1768.1173400000002</v>
      </c>
      <c r="F173" s="159">
        <f t="shared" si="27"/>
        <v>488.00732000000005</v>
      </c>
      <c r="G173" s="160">
        <f t="shared" si="28"/>
        <v>1280.1100200000001</v>
      </c>
      <c r="H173" s="166">
        <v>123.16500000000001</v>
      </c>
      <c r="I173" s="165">
        <v>41.055</v>
      </c>
      <c r="J173" s="160"/>
      <c r="K173" s="160"/>
      <c r="L173" s="166">
        <v>274.34651000000002</v>
      </c>
      <c r="M173" s="165">
        <v>429.98784000000001</v>
      </c>
      <c r="N173" s="165"/>
      <c r="O173" s="165"/>
      <c r="P173" s="160"/>
      <c r="Q173" s="166"/>
      <c r="R173" s="165"/>
      <c r="S173" s="165"/>
      <c r="T173" s="159"/>
      <c r="U173" s="160"/>
      <c r="V173" s="165"/>
      <c r="W173" s="165"/>
      <c r="X173" s="160"/>
      <c r="Y173" s="166">
        <v>90.495810000000006</v>
      </c>
      <c r="Z173" s="160">
        <v>30.16527</v>
      </c>
      <c r="AA173" s="160"/>
      <c r="AB173" s="165"/>
      <c r="AC173" s="165"/>
      <c r="AD173" s="165"/>
      <c r="AE173" s="165"/>
      <c r="AF173" s="160"/>
      <c r="AG173" s="160"/>
      <c r="AH173" s="160"/>
      <c r="AI173" s="160"/>
      <c r="AJ173" s="161"/>
      <c r="AK173" s="162"/>
      <c r="AL173" s="165"/>
      <c r="AM173" s="166"/>
      <c r="AN173" s="165"/>
      <c r="AO173" s="160"/>
      <c r="AP173" s="162"/>
      <c r="AQ173" s="161"/>
      <c r="AR173" s="162"/>
      <c r="AS173" s="161"/>
      <c r="AT173" s="165"/>
      <c r="AU173" s="166"/>
      <c r="AV173" s="165"/>
      <c r="AW173" s="166"/>
      <c r="AX173" s="165"/>
      <c r="AY173" s="165"/>
      <c r="AZ173" s="165"/>
      <c r="BA173" s="165"/>
      <c r="BB173" s="166"/>
      <c r="BC173" s="165"/>
      <c r="BD173" s="165"/>
      <c r="BE173" s="165">
        <v>500.64290999999997</v>
      </c>
      <c r="BF173" s="165"/>
      <c r="BG173" s="165">
        <v>278.25900000000001</v>
      </c>
      <c r="BH173" s="165"/>
      <c r="BI173" s="165"/>
      <c r="BJ173" s="166"/>
      <c r="BK173" s="165"/>
      <c r="BL173" s="165"/>
      <c r="BM173" s="163"/>
      <c r="BN173" s="165"/>
      <c r="BO173" s="165"/>
      <c r="BP173" s="165"/>
      <c r="BQ173" s="167"/>
    </row>
    <row r="174" spans="1:270" ht="39.950000000000003" customHeight="1" outlineLevel="1" x14ac:dyDescent="0.3">
      <c r="A174" s="17" t="s">
        <v>225</v>
      </c>
      <c r="B174" s="14" t="s">
        <v>230</v>
      </c>
      <c r="C174" s="9" t="s">
        <v>6</v>
      </c>
      <c r="D174" s="66" t="s">
        <v>231</v>
      </c>
      <c r="E174" s="158">
        <f t="shared" si="26"/>
        <v>17921.591769999999</v>
      </c>
      <c r="F174" s="159">
        <f t="shared" si="27"/>
        <v>2836.8039100000001</v>
      </c>
      <c r="G174" s="160">
        <f t="shared" si="28"/>
        <v>15084.78786</v>
      </c>
      <c r="H174" s="166">
        <v>137.26244</v>
      </c>
      <c r="I174" s="165">
        <v>45.75414</v>
      </c>
      <c r="J174" s="160">
        <v>96</v>
      </c>
      <c r="K174" s="160"/>
      <c r="L174" s="166">
        <v>1215.7009700000001</v>
      </c>
      <c r="M174" s="165">
        <v>1905.3882799999999</v>
      </c>
      <c r="N174" s="165"/>
      <c r="O174" s="165"/>
      <c r="P174" s="160"/>
      <c r="Q174" s="166"/>
      <c r="R174" s="165"/>
      <c r="S174" s="165"/>
      <c r="T174" s="159"/>
      <c r="U174" s="160"/>
      <c r="V174" s="165"/>
      <c r="W174" s="165"/>
      <c r="X174" s="160"/>
      <c r="Y174" s="166">
        <v>1483.8405</v>
      </c>
      <c r="Z174" s="160">
        <v>494.61349999999999</v>
      </c>
      <c r="AA174" s="160">
        <v>6073.1333400000003</v>
      </c>
      <c r="AB174" s="165"/>
      <c r="AC174" s="165"/>
      <c r="AD174" s="165"/>
      <c r="AE174" s="165"/>
      <c r="AF174" s="160"/>
      <c r="AG174" s="160"/>
      <c r="AH174" s="160"/>
      <c r="AI174" s="160"/>
      <c r="AJ174" s="161"/>
      <c r="AK174" s="162"/>
      <c r="AL174" s="165"/>
      <c r="AM174" s="166"/>
      <c r="AN174" s="165"/>
      <c r="AO174" s="160"/>
      <c r="AP174" s="162"/>
      <c r="AQ174" s="161"/>
      <c r="AR174" s="162"/>
      <c r="AS174" s="161"/>
      <c r="AT174" s="165"/>
      <c r="AU174" s="166"/>
      <c r="AV174" s="165"/>
      <c r="AW174" s="166"/>
      <c r="AX174" s="165"/>
      <c r="AY174" s="165"/>
      <c r="AZ174" s="165"/>
      <c r="BA174" s="165"/>
      <c r="BB174" s="166"/>
      <c r="BC174" s="165"/>
      <c r="BD174" s="165"/>
      <c r="BE174" s="165">
        <v>453.22969999999998</v>
      </c>
      <c r="BF174" s="165">
        <v>1789.6688099999999</v>
      </c>
      <c r="BG174" s="165">
        <v>118.71209</v>
      </c>
      <c r="BH174" s="165">
        <v>4000</v>
      </c>
      <c r="BI174" s="165"/>
      <c r="BJ174" s="166"/>
      <c r="BK174" s="165"/>
      <c r="BL174" s="165"/>
      <c r="BM174" s="163"/>
      <c r="BN174" s="165"/>
      <c r="BO174" s="165">
        <v>108.288</v>
      </c>
      <c r="BP174" s="165"/>
      <c r="BQ174" s="167"/>
    </row>
    <row r="175" spans="1:270" s="34" customFormat="1" ht="39.950000000000003" customHeight="1" x14ac:dyDescent="0.3">
      <c r="A175" s="114" t="s">
        <v>257</v>
      </c>
      <c r="B175" s="120"/>
      <c r="C175" s="123" t="s">
        <v>80</v>
      </c>
      <c r="D175" s="117"/>
      <c r="E175" s="173">
        <f t="shared" ref="E175:AI175" si="29">SUBTOTAL(9,E156:E174)</f>
        <v>95836.357609999992</v>
      </c>
      <c r="F175" s="173">
        <f t="shared" si="29"/>
        <v>30724.549209999997</v>
      </c>
      <c r="G175" s="173">
        <f t="shared" si="29"/>
        <v>65111.808399999994</v>
      </c>
      <c r="H175" s="173">
        <f t="shared" si="29"/>
        <v>6500.8071900000004</v>
      </c>
      <c r="I175" s="173">
        <f t="shared" si="29"/>
        <v>2166.9357199999999</v>
      </c>
      <c r="J175" s="173">
        <f t="shared" si="29"/>
        <v>96</v>
      </c>
      <c r="K175" s="173">
        <f t="shared" si="29"/>
        <v>0</v>
      </c>
      <c r="L175" s="173">
        <f t="shared" si="29"/>
        <v>4297.5006700000004</v>
      </c>
      <c r="M175" s="173">
        <f t="shared" si="29"/>
        <v>6735.54403</v>
      </c>
      <c r="N175" s="173">
        <f t="shared" si="29"/>
        <v>0</v>
      </c>
      <c r="O175" s="173">
        <f>SUBTOTAL(9,O156:O174)</f>
        <v>0</v>
      </c>
      <c r="P175" s="173">
        <f>SUBTOTAL(9,P156:P174)</f>
        <v>248.35764</v>
      </c>
      <c r="Q175" s="173">
        <f t="shared" si="29"/>
        <v>0</v>
      </c>
      <c r="R175" s="173">
        <f t="shared" si="29"/>
        <v>0</v>
      </c>
      <c r="S175" s="173">
        <f t="shared" si="29"/>
        <v>1027.56</v>
      </c>
      <c r="T175" s="173">
        <f>SUBTOTAL(9,T156:T174)</f>
        <v>3557.09854</v>
      </c>
      <c r="U175" s="173">
        <f>SUBTOTAL(9,U156:U174)</f>
        <v>1185.6995099999999</v>
      </c>
      <c r="V175" s="173">
        <f t="shared" si="29"/>
        <v>0</v>
      </c>
      <c r="W175" s="173">
        <f t="shared" si="29"/>
        <v>49.92</v>
      </c>
      <c r="X175" s="173">
        <f>SUBTOTAL(9,X156:X174)</f>
        <v>0</v>
      </c>
      <c r="Y175" s="173">
        <f t="shared" si="29"/>
        <v>1984.3674099999998</v>
      </c>
      <c r="Z175" s="173">
        <f t="shared" si="29"/>
        <v>661.45580999999993</v>
      </c>
      <c r="AA175" s="173">
        <f t="shared" si="29"/>
        <v>7823.1226100000003</v>
      </c>
      <c r="AB175" s="173">
        <f t="shared" si="29"/>
        <v>0</v>
      </c>
      <c r="AC175" s="173">
        <f t="shared" si="29"/>
        <v>0</v>
      </c>
      <c r="AD175" s="173">
        <f>SUBTOTAL(9,AD156:AD174)</f>
        <v>0</v>
      </c>
      <c r="AE175" s="173">
        <f t="shared" si="29"/>
        <v>0</v>
      </c>
      <c r="AF175" s="173">
        <f t="shared" si="29"/>
        <v>0</v>
      </c>
      <c r="AG175" s="173">
        <f t="shared" si="29"/>
        <v>10.0425</v>
      </c>
      <c r="AH175" s="173">
        <f t="shared" si="29"/>
        <v>0</v>
      </c>
      <c r="AI175" s="173">
        <f t="shared" si="29"/>
        <v>132.05631</v>
      </c>
      <c r="AJ175" s="173">
        <f t="shared" ref="AJ175:BQ175" si="30">SUBTOTAL(9,AJ156:AJ174)</f>
        <v>0</v>
      </c>
      <c r="AK175" s="173">
        <f t="shared" si="30"/>
        <v>0</v>
      </c>
      <c r="AL175" s="173">
        <f t="shared" si="30"/>
        <v>0</v>
      </c>
      <c r="AM175" s="173">
        <f>SUBTOTAL(9,AM156:AM174)</f>
        <v>0</v>
      </c>
      <c r="AN175" s="173">
        <f>SUBTOTAL(9,AN156:AN174)</f>
        <v>0</v>
      </c>
      <c r="AO175" s="173">
        <f>SUBTOTAL(9,AO156:AO174)</f>
        <v>0</v>
      </c>
      <c r="AP175" s="173">
        <f t="shared" si="30"/>
        <v>0</v>
      </c>
      <c r="AQ175" s="173">
        <f t="shared" si="30"/>
        <v>0</v>
      </c>
      <c r="AR175" s="173">
        <f t="shared" si="30"/>
        <v>0</v>
      </c>
      <c r="AS175" s="173">
        <f t="shared" si="30"/>
        <v>0</v>
      </c>
      <c r="AT175" s="173">
        <f>SUBTOTAL(9,AT156:AT174)</f>
        <v>0</v>
      </c>
      <c r="AU175" s="173">
        <f t="shared" si="30"/>
        <v>0</v>
      </c>
      <c r="AV175" s="173">
        <f t="shared" si="30"/>
        <v>0</v>
      </c>
      <c r="AW175" s="173">
        <f t="shared" si="30"/>
        <v>14384.7754</v>
      </c>
      <c r="AX175" s="173">
        <f t="shared" si="30"/>
        <v>9303.3004799999999</v>
      </c>
      <c r="AY175" s="173">
        <f t="shared" si="30"/>
        <v>0</v>
      </c>
      <c r="AZ175" s="173">
        <f t="shared" si="30"/>
        <v>8922.3279999999995</v>
      </c>
      <c r="BA175" s="173">
        <f t="shared" si="30"/>
        <v>0</v>
      </c>
      <c r="BB175" s="173">
        <f t="shared" si="30"/>
        <v>0</v>
      </c>
      <c r="BC175" s="173">
        <f t="shared" si="30"/>
        <v>0</v>
      </c>
      <c r="BD175" s="173">
        <f t="shared" si="30"/>
        <v>0</v>
      </c>
      <c r="BE175" s="173">
        <f t="shared" si="30"/>
        <v>3096.74611</v>
      </c>
      <c r="BF175" s="173">
        <f t="shared" si="30"/>
        <v>10217.4522</v>
      </c>
      <c r="BG175" s="173">
        <f t="shared" si="30"/>
        <v>873.28008999999997</v>
      </c>
      <c r="BH175" s="173">
        <f t="shared" si="30"/>
        <v>12165</v>
      </c>
      <c r="BI175" s="173">
        <f t="shared" si="30"/>
        <v>0</v>
      </c>
      <c r="BJ175" s="173">
        <f t="shared" si="30"/>
        <v>0</v>
      </c>
      <c r="BK175" s="173">
        <f t="shared" si="30"/>
        <v>0</v>
      </c>
      <c r="BL175" s="173">
        <f t="shared" si="30"/>
        <v>0</v>
      </c>
      <c r="BM175" s="174">
        <f>SUBTOTAL(9,BM156:BM174)</f>
        <v>0</v>
      </c>
      <c r="BN175" s="173">
        <f t="shared" si="30"/>
        <v>0</v>
      </c>
      <c r="BO175" s="173">
        <f t="shared" si="30"/>
        <v>397.00738999999999</v>
      </c>
      <c r="BP175" s="173">
        <f t="shared" si="30"/>
        <v>0</v>
      </c>
      <c r="BQ175" s="174">
        <f t="shared" si="30"/>
        <v>0</v>
      </c>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c r="DV175" s="40"/>
      <c r="DW175" s="40"/>
      <c r="DX175" s="40"/>
      <c r="DY175" s="40"/>
      <c r="DZ175" s="40"/>
      <c r="EA175" s="40"/>
      <c r="EB175" s="40"/>
      <c r="EC175" s="40"/>
      <c r="ED175" s="40"/>
      <c r="EE175" s="40"/>
      <c r="EF175" s="40"/>
      <c r="EG175" s="40"/>
      <c r="EH175" s="40"/>
      <c r="EI175" s="40"/>
      <c r="EJ175" s="40"/>
      <c r="EK175" s="40"/>
      <c r="EL175" s="40"/>
      <c r="EM175" s="40"/>
      <c r="EN175" s="40"/>
      <c r="EO175" s="40"/>
      <c r="EP175" s="40"/>
      <c r="EQ175" s="40"/>
      <c r="ER175" s="40"/>
      <c r="ES175" s="40"/>
      <c r="ET175" s="40"/>
      <c r="EU175" s="40"/>
      <c r="EV175" s="40"/>
      <c r="EW175" s="40"/>
      <c r="EX175" s="40"/>
      <c r="EY175" s="40"/>
      <c r="EZ175" s="40"/>
      <c r="FA175" s="40"/>
      <c r="FB175" s="40"/>
      <c r="FC175" s="40"/>
      <c r="FD175" s="40"/>
      <c r="FE175" s="40"/>
      <c r="FF175" s="40"/>
      <c r="FG175" s="40"/>
      <c r="FH175" s="40"/>
      <c r="FI175" s="40"/>
      <c r="FJ175" s="40"/>
      <c r="FK175" s="40"/>
      <c r="FL175" s="40"/>
      <c r="FM175" s="40"/>
      <c r="FN175" s="40"/>
      <c r="FO175" s="40"/>
      <c r="FP175" s="40"/>
      <c r="FQ175" s="40"/>
      <c r="FR175" s="40"/>
      <c r="FS175" s="40"/>
      <c r="FT175" s="40"/>
      <c r="FU175" s="40"/>
      <c r="FV175" s="40"/>
      <c r="FW175" s="40"/>
      <c r="FX175" s="40"/>
      <c r="FY175" s="40"/>
      <c r="FZ175" s="40"/>
      <c r="GA175" s="40"/>
      <c r="GB175" s="40"/>
      <c r="GC175" s="40"/>
      <c r="GD175" s="40"/>
      <c r="GE175" s="40"/>
      <c r="GF175" s="40"/>
      <c r="GG175" s="40"/>
      <c r="GH175" s="40"/>
      <c r="GI175" s="40"/>
      <c r="GJ175" s="40"/>
      <c r="GK175" s="40"/>
      <c r="GL175" s="40"/>
      <c r="GM175" s="40"/>
      <c r="GN175" s="40"/>
      <c r="GO175" s="40"/>
      <c r="GP175" s="40"/>
      <c r="GQ175" s="40"/>
      <c r="GR175" s="40"/>
      <c r="GS175" s="40"/>
      <c r="GT175" s="40"/>
      <c r="GU175" s="40"/>
      <c r="GV175" s="40"/>
      <c r="GW175" s="40"/>
      <c r="GX175" s="40"/>
      <c r="GY175" s="40"/>
      <c r="GZ175" s="40"/>
      <c r="HA175" s="40"/>
      <c r="HB175" s="40"/>
      <c r="HC175" s="40"/>
      <c r="HD175" s="40"/>
      <c r="HE175" s="40"/>
      <c r="HF175" s="40"/>
      <c r="HG175" s="40"/>
      <c r="HH175" s="40"/>
      <c r="HI175" s="40"/>
      <c r="HJ175" s="40"/>
      <c r="HK175" s="40"/>
      <c r="HL175" s="40"/>
      <c r="HM175" s="40"/>
      <c r="HN175" s="40"/>
      <c r="HO175" s="40"/>
      <c r="HP175" s="40"/>
      <c r="HQ175" s="40"/>
      <c r="HR175" s="40"/>
      <c r="HS175" s="40"/>
      <c r="HT175" s="40"/>
      <c r="HU175" s="40"/>
      <c r="HV175" s="40"/>
      <c r="HW175" s="40"/>
      <c r="HX175" s="40"/>
      <c r="HY175" s="40"/>
      <c r="HZ175" s="40"/>
      <c r="IA175" s="40"/>
      <c r="IB175" s="40"/>
      <c r="IC175" s="40"/>
      <c r="ID175" s="40"/>
      <c r="IE175" s="40"/>
      <c r="IF175" s="40"/>
      <c r="IG175" s="40"/>
      <c r="IH175" s="40"/>
      <c r="II175" s="40"/>
      <c r="IJ175" s="40"/>
      <c r="IK175" s="40"/>
      <c r="IL175" s="40"/>
      <c r="IM175" s="40"/>
      <c r="IN175" s="40"/>
      <c r="IO175" s="40"/>
      <c r="IP175" s="40"/>
      <c r="IQ175" s="40"/>
      <c r="IR175" s="40"/>
      <c r="IS175" s="40"/>
      <c r="IT175" s="40"/>
      <c r="IU175" s="40"/>
      <c r="IV175" s="40"/>
      <c r="IW175" s="40"/>
      <c r="IX175" s="40"/>
      <c r="IY175" s="40"/>
      <c r="IZ175" s="40"/>
      <c r="JA175" s="40"/>
      <c r="JB175" s="40"/>
      <c r="JC175" s="40"/>
      <c r="JD175" s="40"/>
      <c r="JE175" s="40"/>
      <c r="JF175" s="40"/>
      <c r="JG175" s="40"/>
      <c r="JH175" s="40"/>
      <c r="JI175" s="40"/>
      <c r="JJ175" s="40"/>
    </row>
    <row r="176" spans="1:270" ht="39.950000000000003" customHeight="1" outlineLevel="1" x14ac:dyDescent="0.3">
      <c r="A176" s="17" t="s">
        <v>258</v>
      </c>
      <c r="B176" s="14" t="s">
        <v>271</v>
      </c>
      <c r="C176" s="9" t="s">
        <v>28</v>
      </c>
      <c r="D176" s="66" t="s">
        <v>272</v>
      </c>
      <c r="E176" s="158">
        <f t="shared" ref="E176:E187" si="31">F176+G176</f>
        <v>339.15170000000001</v>
      </c>
      <c r="F176" s="159">
        <f t="shared" ref="F176:F187" si="32">H176+L176+Q176+Y176+T176+AK176+AP176+AM176+AR176+AU176+AW176+BB176+BJ176</f>
        <v>132.10357999999999</v>
      </c>
      <c r="G176" s="160">
        <f t="shared" ref="G176:G187" si="33">I176+J176+K176+M176+N176+R176+S176+V176+W176+AD176+O176+X176+Z176+AA176+AB176+AC176+AE176+AF176+P176+U176+AG176+AH176+AI176+AO176+AJ176+AL176+AQ176+AN176+AS176+AV176+AX176+AY176+AZ176+BA176+BC176+BD176+BE176+BF176+BG176+BH176+BI176+AT176+BK176+BL176+BN176+BO176+BP176+BQ176+BM176</f>
        <v>207.04812000000001</v>
      </c>
      <c r="H176" s="166"/>
      <c r="I176" s="165"/>
      <c r="J176" s="160"/>
      <c r="K176" s="160"/>
      <c r="L176" s="166">
        <v>132.10357999999999</v>
      </c>
      <c r="M176" s="165">
        <v>207.04812000000001</v>
      </c>
      <c r="N176" s="165"/>
      <c r="O176" s="165"/>
      <c r="P176" s="160"/>
      <c r="Q176" s="166"/>
      <c r="R176" s="165"/>
      <c r="S176" s="165"/>
      <c r="T176" s="159"/>
      <c r="U176" s="160"/>
      <c r="V176" s="165"/>
      <c r="W176" s="165"/>
      <c r="X176" s="160"/>
      <c r="Y176" s="166"/>
      <c r="Z176" s="160"/>
      <c r="AA176" s="160"/>
      <c r="AB176" s="165"/>
      <c r="AC176" s="165"/>
      <c r="AD176" s="165"/>
      <c r="AE176" s="165"/>
      <c r="AF176" s="160"/>
      <c r="AG176" s="160"/>
      <c r="AH176" s="160"/>
      <c r="AI176" s="160"/>
      <c r="AJ176" s="161"/>
      <c r="AK176" s="162"/>
      <c r="AL176" s="165"/>
      <c r="AM176" s="166"/>
      <c r="AN176" s="165"/>
      <c r="AO176" s="160"/>
      <c r="AP176" s="162"/>
      <c r="AQ176" s="161"/>
      <c r="AR176" s="162"/>
      <c r="AS176" s="161"/>
      <c r="AT176" s="165"/>
      <c r="AU176" s="166"/>
      <c r="AV176" s="165"/>
      <c r="AW176" s="166"/>
      <c r="AX176" s="165"/>
      <c r="AY176" s="165"/>
      <c r="AZ176" s="165"/>
      <c r="BA176" s="165"/>
      <c r="BB176" s="166"/>
      <c r="BC176" s="165"/>
      <c r="BD176" s="165"/>
      <c r="BE176" s="165"/>
      <c r="BF176" s="165"/>
      <c r="BG176" s="165"/>
      <c r="BH176" s="165"/>
      <c r="BI176" s="165"/>
      <c r="BJ176" s="166"/>
      <c r="BK176" s="165"/>
      <c r="BL176" s="165"/>
      <c r="BM176" s="163"/>
      <c r="BN176" s="165"/>
      <c r="BO176" s="165"/>
      <c r="BP176" s="165"/>
      <c r="BQ176" s="167"/>
    </row>
    <row r="177" spans="1:270" ht="39.950000000000003" customHeight="1" outlineLevel="1" x14ac:dyDescent="0.3">
      <c r="A177" s="17" t="s">
        <v>258</v>
      </c>
      <c r="B177" s="12" t="s">
        <v>264</v>
      </c>
      <c r="C177" s="9" t="s">
        <v>30</v>
      </c>
      <c r="D177" s="66" t="s">
        <v>265</v>
      </c>
      <c r="E177" s="158">
        <f t="shared" si="31"/>
        <v>923.08443999999997</v>
      </c>
      <c r="F177" s="159">
        <f t="shared" si="32"/>
        <v>359.55223999999998</v>
      </c>
      <c r="G177" s="160">
        <f t="shared" si="33"/>
        <v>563.53219999999999</v>
      </c>
      <c r="H177" s="166"/>
      <c r="I177" s="165"/>
      <c r="J177" s="160"/>
      <c r="K177" s="160"/>
      <c r="L177" s="166">
        <v>359.55223999999998</v>
      </c>
      <c r="M177" s="165">
        <v>563.53219999999999</v>
      </c>
      <c r="N177" s="165"/>
      <c r="O177" s="165"/>
      <c r="P177" s="160"/>
      <c r="Q177" s="166"/>
      <c r="R177" s="165"/>
      <c r="S177" s="165"/>
      <c r="T177" s="159"/>
      <c r="U177" s="160"/>
      <c r="V177" s="165"/>
      <c r="W177" s="165"/>
      <c r="X177" s="160"/>
      <c r="Y177" s="166"/>
      <c r="Z177" s="160"/>
      <c r="AA177" s="160"/>
      <c r="AB177" s="165"/>
      <c r="AC177" s="165"/>
      <c r="AD177" s="165"/>
      <c r="AE177" s="165"/>
      <c r="AF177" s="160"/>
      <c r="AG177" s="160"/>
      <c r="AH177" s="160"/>
      <c r="AI177" s="160"/>
      <c r="AJ177" s="161"/>
      <c r="AK177" s="162"/>
      <c r="AL177" s="165"/>
      <c r="AM177" s="166"/>
      <c r="AN177" s="165"/>
      <c r="AO177" s="160"/>
      <c r="AP177" s="162"/>
      <c r="AQ177" s="161"/>
      <c r="AR177" s="162"/>
      <c r="AS177" s="161"/>
      <c r="AT177" s="165"/>
      <c r="AU177" s="166"/>
      <c r="AV177" s="165"/>
      <c r="AW177" s="166"/>
      <c r="AX177" s="165"/>
      <c r="AY177" s="165"/>
      <c r="AZ177" s="165"/>
      <c r="BA177" s="165"/>
      <c r="BB177" s="166"/>
      <c r="BC177" s="165"/>
      <c r="BD177" s="165"/>
      <c r="BE177" s="165"/>
      <c r="BF177" s="165"/>
      <c r="BG177" s="165"/>
      <c r="BH177" s="165"/>
      <c r="BI177" s="165"/>
      <c r="BJ177" s="166"/>
      <c r="BK177" s="165"/>
      <c r="BL177" s="165"/>
      <c r="BM177" s="163"/>
      <c r="BN177" s="165"/>
      <c r="BO177" s="165"/>
      <c r="BP177" s="165"/>
      <c r="BQ177" s="167"/>
    </row>
    <row r="178" spans="1:270" ht="39.950000000000003" customHeight="1" outlineLevel="1" x14ac:dyDescent="0.3">
      <c r="A178" s="17" t="s">
        <v>258</v>
      </c>
      <c r="B178" s="14" t="s">
        <v>266</v>
      </c>
      <c r="C178" s="9" t="s">
        <v>30</v>
      </c>
      <c r="D178" s="66" t="s">
        <v>267</v>
      </c>
      <c r="E178" s="158">
        <f t="shared" si="31"/>
        <v>88.240389999999991</v>
      </c>
      <c r="F178" s="159">
        <f t="shared" si="32"/>
        <v>34.370669999999997</v>
      </c>
      <c r="G178" s="160">
        <f t="shared" si="33"/>
        <v>53.869720000000001</v>
      </c>
      <c r="H178" s="166"/>
      <c r="I178" s="165"/>
      <c r="J178" s="160"/>
      <c r="K178" s="160"/>
      <c r="L178" s="166">
        <v>34.370669999999997</v>
      </c>
      <c r="M178" s="165">
        <v>53.869720000000001</v>
      </c>
      <c r="N178" s="165"/>
      <c r="O178" s="165"/>
      <c r="P178" s="160"/>
      <c r="Q178" s="166"/>
      <c r="R178" s="165"/>
      <c r="S178" s="165"/>
      <c r="T178" s="159"/>
      <c r="U178" s="160"/>
      <c r="V178" s="165"/>
      <c r="W178" s="165"/>
      <c r="X178" s="160"/>
      <c r="Y178" s="166"/>
      <c r="Z178" s="160"/>
      <c r="AA178" s="160"/>
      <c r="AB178" s="165"/>
      <c r="AC178" s="165"/>
      <c r="AD178" s="165"/>
      <c r="AE178" s="165"/>
      <c r="AF178" s="160"/>
      <c r="AG178" s="160"/>
      <c r="AH178" s="160"/>
      <c r="AI178" s="160"/>
      <c r="AJ178" s="161"/>
      <c r="AK178" s="162"/>
      <c r="AL178" s="165"/>
      <c r="AM178" s="166"/>
      <c r="AN178" s="165"/>
      <c r="AO178" s="160"/>
      <c r="AP178" s="162"/>
      <c r="AQ178" s="161"/>
      <c r="AR178" s="162"/>
      <c r="AS178" s="161"/>
      <c r="AT178" s="165"/>
      <c r="AU178" s="166"/>
      <c r="AV178" s="165"/>
      <c r="AW178" s="166"/>
      <c r="AX178" s="165"/>
      <c r="AY178" s="165"/>
      <c r="AZ178" s="165"/>
      <c r="BA178" s="165"/>
      <c r="BB178" s="166"/>
      <c r="BC178" s="165"/>
      <c r="BD178" s="165"/>
      <c r="BE178" s="165"/>
      <c r="BF178" s="165"/>
      <c r="BG178" s="165"/>
      <c r="BH178" s="165"/>
      <c r="BI178" s="165"/>
      <c r="BJ178" s="166"/>
      <c r="BK178" s="165"/>
      <c r="BL178" s="165"/>
      <c r="BM178" s="163"/>
      <c r="BN178" s="165"/>
      <c r="BO178" s="165"/>
      <c r="BP178" s="165"/>
      <c r="BQ178" s="167"/>
    </row>
    <row r="179" spans="1:270" ht="39.950000000000003" customHeight="1" outlineLevel="1" x14ac:dyDescent="0.3">
      <c r="A179" s="17" t="s">
        <v>258</v>
      </c>
      <c r="B179" s="14" t="s">
        <v>1563</v>
      </c>
      <c r="C179" s="9" t="s">
        <v>30</v>
      </c>
      <c r="D179" s="66">
        <v>244402910939</v>
      </c>
      <c r="E179" s="158">
        <f t="shared" si="31"/>
        <v>1878.7565300000001</v>
      </c>
      <c r="F179" s="159">
        <f t="shared" si="32"/>
        <v>0</v>
      </c>
      <c r="G179" s="160">
        <f t="shared" si="33"/>
        <v>1878.7565300000001</v>
      </c>
      <c r="H179" s="166"/>
      <c r="I179" s="165"/>
      <c r="J179" s="160"/>
      <c r="K179" s="160"/>
      <c r="L179" s="166"/>
      <c r="M179" s="165"/>
      <c r="N179" s="165"/>
      <c r="O179" s="165"/>
      <c r="P179" s="160"/>
      <c r="Q179" s="166"/>
      <c r="R179" s="165"/>
      <c r="S179" s="165"/>
      <c r="T179" s="159"/>
      <c r="U179" s="160"/>
      <c r="V179" s="165"/>
      <c r="W179" s="165"/>
      <c r="X179" s="160"/>
      <c r="Y179" s="166"/>
      <c r="Z179" s="160"/>
      <c r="AA179" s="160"/>
      <c r="AB179" s="165"/>
      <c r="AC179" s="165"/>
      <c r="AD179" s="165"/>
      <c r="AE179" s="165"/>
      <c r="AF179" s="160"/>
      <c r="AG179" s="160"/>
      <c r="AH179" s="160"/>
      <c r="AI179" s="160"/>
      <c r="AJ179" s="161"/>
      <c r="AK179" s="162"/>
      <c r="AL179" s="165"/>
      <c r="AM179" s="166"/>
      <c r="AN179" s="165"/>
      <c r="AO179" s="160"/>
      <c r="AP179" s="162"/>
      <c r="AQ179" s="161"/>
      <c r="AR179" s="162"/>
      <c r="AS179" s="161"/>
      <c r="AT179" s="165"/>
      <c r="AU179" s="166"/>
      <c r="AV179" s="165"/>
      <c r="AW179" s="166"/>
      <c r="AX179" s="165"/>
      <c r="AY179" s="165"/>
      <c r="AZ179" s="165"/>
      <c r="BA179" s="165"/>
      <c r="BB179" s="166"/>
      <c r="BC179" s="165"/>
      <c r="BD179" s="165"/>
      <c r="BE179" s="165"/>
      <c r="BF179" s="165">
        <v>1878.7565300000001</v>
      </c>
      <c r="BG179" s="165"/>
      <c r="BH179" s="165"/>
      <c r="BI179" s="165"/>
      <c r="BJ179" s="166"/>
      <c r="BK179" s="165"/>
      <c r="BL179" s="165"/>
      <c r="BM179" s="163"/>
      <c r="BN179" s="165"/>
      <c r="BO179" s="165"/>
      <c r="BP179" s="165"/>
      <c r="BQ179" s="167"/>
    </row>
    <row r="180" spans="1:270" ht="39.950000000000003" customHeight="1" outlineLevel="1" x14ac:dyDescent="0.3">
      <c r="A180" s="17" t="s">
        <v>258</v>
      </c>
      <c r="B180" s="14" t="s">
        <v>1519</v>
      </c>
      <c r="C180" s="9" t="s">
        <v>30</v>
      </c>
      <c r="D180" s="66">
        <v>244430915907</v>
      </c>
      <c r="E180" s="158">
        <f t="shared" si="31"/>
        <v>104.54259999999999</v>
      </c>
      <c r="F180" s="159">
        <f t="shared" si="32"/>
        <v>0</v>
      </c>
      <c r="G180" s="160">
        <f t="shared" si="33"/>
        <v>104.54259999999999</v>
      </c>
      <c r="H180" s="166"/>
      <c r="I180" s="165"/>
      <c r="J180" s="160"/>
      <c r="K180" s="160"/>
      <c r="L180" s="166"/>
      <c r="M180" s="165"/>
      <c r="N180" s="165"/>
      <c r="O180" s="165"/>
      <c r="P180" s="160"/>
      <c r="Q180" s="166"/>
      <c r="R180" s="165"/>
      <c r="S180" s="165"/>
      <c r="T180" s="159"/>
      <c r="U180" s="160"/>
      <c r="V180" s="165"/>
      <c r="W180" s="165"/>
      <c r="X180" s="160"/>
      <c r="Y180" s="166"/>
      <c r="Z180" s="160"/>
      <c r="AA180" s="160">
        <v>104.54259999999999</v>
      </c>
      <c r="AB180" s="165"/>
      <c r="AC180" s="165"/>
      <c r="AD180" s="165"/>
      <c r="AE180" s="165"/>
      <c r="AF180" s="160"/>
      <c r="AG180" s="160"/>
      <c r="AH180" s="160"/>
      <c r="AI180" s="160"/>
      <c r="AJ180" s="161"/>
      <c r="AK180" s="162"/>
      <c r="AL180" s="165"/>
      <c r="AM180" s="166"/>
      <c r="AN180" s="165"/>
      <c r="AO180" s="160"/>
      <c r="AP180" s="162"/>
      <c r="AQ180" s="161"/>
      <c r="AR180" s="162"/>
      <c r="AS180" s="161"/>
      <c r="AT180" s="165"/>
      <c r="AU180" s="166"/>
      <c r="AV180" s="165"/>
      <c r="AW180" s="166"/>
      <c r="AX180" s="165"/>
      <c r="AY180" s="165"/>
      <c r="AZ180" s="165"/>
      <c r="BA180" s="165"/>
      <c r="BB180" s="166"/>
      <c r="BC180" s="165"/>
      <c r="BD180" s="165"/>
      <c r="BE180" s="165"/>
      <c r="BF180" s="165"/>
      <c r="BG180" s="165"/>
      <c r="BH180" s="165"/>
      <c r="BI180" s="165"/>
      <c r="BJ180" s="166"/>
      <c r="BK180" s="165"/>
      <c r="BL180" s="165"/>
      <c r="BM180" s="163"/>
      <c r="BN180" s="165"/>
      <c r="BO180" s="165"/>
      <c r="BP180" s="165"/>
      <c r="BQ180" s="167"/>
    </row>
    <row r="181" spans="1:270" ht="39.950000000000003" customHeight="1" outlineLevel="1" x14ac:dyDescent="0.3">
      <c r="A181" s="17" t="s">
        <v>258</v>
      </c>
      <c r="B181" s="14" t="s">
        <v>268</v>
      </c>
      <c r="C181" s="9" t="s">
        <v>30</v>
      </c>
      <c r="D181" s="66">
        <v>244400178484</v>
      </c>
      <c r="E181" s="158">
        <f t="shared" si="31"/>
        <v>125.68727</v>
      </c>
      <c r="F181" s="159">
        <f t="shared" si="32"/>
        <v>0</v>
      </c>
      <c r="G181" s="160">
        <f t="shared" si="33"/>
        <v>125.68727</v>
      </c>
      <c r="H181" s="166"/>
      <c r="I181" s="165"/>
      <c r="J181" s="160"/>
      <c r="K181" s="160"/>
      <c r="L181" s="166"/>
      <c r="M181" s="165"/>
      <c r="N181" s="165"/>
      <c r="O181" s="165"/>
      <c r="P181" s="160"/>
      <c r="Q181" s="166"/>
      <c r="R181" s="165"/>
      <c r="S181" s="165"/>
      <c r="T181" s="159"/>
      <c r="U181" s="160"/>
      <c r="V181" s="165"/>
      <c r="W181" s="165"/>
      <c r="X181" s="160"/>
      <c r="Y181" s="166"/>
      <c r="Z181" s="160"/>
      <c r="AA181" s="160">
        <v>125.68727</v>
      </c>
      <c r="AB181" s="165"/>
      <c r="AC181" s="165"/>
      <c r="AD181" s="165"/>
      <c r="AE181" s="165"/>
      <c r="AF181" s="160"/>
      <c r="AG181" s="160"/>
      <c r="AH181" s="160"/>
      <c r="AI181" s="160"/>
      <c r="AJ181" s="161"/>
      <c r="AK181" s="162"/>
      <c r="AL181" s="165"/>
      <c r="AM181" s="166"/>
      <c r="AN181" s="165"/>
      <c r="AO181" s="160"/>
      <c r="AP181" s="162"/>
      <c r="AQ181" s="161"/>
      <c r="AR181" s="162"/>
      <c r="AS181" s="161"/>
      <c r="AT181" s="165"/>
      <c r="AU181" s="166"/>
      <c r="AV181" s="165"/>
      <c r="AW181" s="166"/>
      <c r="AX181" s="165"/>
      <c r="AY181" s="165"/>
      <c r="AZ181" s="165"/>
      <c r="BA181" s="165"/>
      <c r="BB181" s="166"/>
      <c r="BC181" s="165"/>
      <c r="BD181" s="165"/>
      <c r="BE181" s="165"/>
      <c r="BF181" s="165"/>
      <c r="BG181" s="165"/>
      <c r="BH181" s="165"/>
      <c r="BI181" s="165"/>
      <c r="BJ181" s="166"/>
      <c r="BK181" s="165"/>
      <c r="BL181" s="165"/>
      <c r="BM181" s="163"/>
      <c r="BN181" s="165"/>
      <c r="BO181" s="165"/>
      <c r="BP181" s="165"/>
      <c r="BQ181" s="167"/>
    </row>
    <row r="182" spans="1:270" ht="39.950000000000003" customHeight="1" outlineLevel="1" x14ac:dyDescent="0.3">
      <c r="A182" s="17" t="s">
        <v>258</v>
      </c>
      <c r="B182" s="14" t="s">
        <v>1460</v>
      </c>
      <c r="C182" s="9" t="s">
        <v>1501</v>
      </c>
      <c r="D182" s="66">
        <v>244401348629</v>
      </c>
      <c r="E182" s="158">
        <f t="shared" si="31"/>
        <v>10.7019</v>
      </c>
      <c r="F182" s="159">
        <f t="shared" si="32"/>
        <v>0</v>
      </c>
      <c r="G182" s="160">
        <f t="shared" si="33"/>
        <v>10.7019</v>
      </c>
      <c r="H182" s="166"/>
      <c r="I182" s="165"/>
      <c r="J182" s="160"/>
      <c r="K182" s="160"/>
      <c r="L182" s="166"/>
      <c r="M182" s="165"/>
      <c r="N182" s="165"/>
      <c r="O182" s="165"/>
      <c r="P182" s="160"/>
      <c r="Q182" s="166"/>
      <c r="R182" s="165"/>
      <c r="S182" s="165"/>
      <c r="T182" s="159"/>
      <c r="U182" s="160"/>
      <c r="V182" s="165"/>
      <c r="W182" s="165"/>
      <c r="X182" s="160"/>
      <c r="Y182" s="166"/>
      <c r="Z182" s="160"/>
      <c r="AA182" s="160">
        <v>10.7019</v>
      </c>
      <c r="AB182" s="165"/>
      <c r="AC182" s="165"/>
      <c r="AD182" s="165"/>
      <c r="AE182" s="165"/>
      <c r="AF182" s="160"/>
      <c r="AG182" s="160"/>
      <c r="AH182" s="160"/>
      <c r="AI182" s="160"/>
      <c r="AJ182" s="161"/>
      <c r="AK182" s="162"/>
      <c r="AL182" s="165"/>
      <c r="AM182" s="166"/>
      <c r="AN182" s="165"/>
      <c r="AO182" s="160"/>
      <c r="AP182" s="162"/>
      <c r="AQ182" s="161"/>
      <c r="AR182" s="162"/>
      <c r="AS182" s="161"/>
      <c r="AT182" s="165"/>
      <c r="AU182" s="166"/>
      <c r="AV182" s="165"/>
      <c r="AW182" s="166"/>
      <c r="AX182" s="165"/>
      <c r="AY182" s="165"/>
      <c r="AZ182" s="165"/>
      <c r="BA182" s="165"/>
      <c r="BB182" s="166"/>
      <c r="BC182" s="165"/>
      <c r="BD182" s="165"/>
      <c r="BE182" s="165"/>
      <c r="BF182" s="165"/>
      <c r="BG182" s="165"/>
      <c r="BH182" s="165"/>
      <c r="BI182" s="165"/>
      <c r="BJ182" s="166"/>
      <c r="BK182" s="165"/>
      <c r="BL182" s="165"/>
      <c r="BM182" s="163"/>
      <c r="BN182" s="165"/>
      <c r="BO182" s="165"/>
      <c r="BP182" s="165"/>
      <c r="BQ182" s="167"/>
    </row>
    <row r="183" spans="1:270" ht="39.950000000000003" customHeight="1" outlineLevel="1" x14ac:dyDescent="0.3">
      <c r="A183" s="17" t="s">
        <v>258</v>
      </c>
      <c r="B183" s="14" t="s">
        <v>269</v>
      </c>
      <c r="C183" s="9" t="s">
        <v>30</v>
      </c>
      <c r="D183" s="66" t="s">
        <v>270</v>
      </c>
      <c r="E183" s="158">
        <f t="shared" si="31"/>
        <v>8565.9059400000006</v>
      </c>
      <c r="F183" s="159">
        <f t="shared" si="32"/>
        <v>848.65810999999997</v>
      </c>
      <c r="G183" s="160">
        <f t="shared" si="33"/>
        <v>7717.2478300000002</v>
      </c>
      <c r="H183" s="166">
        <v>287.38499999999999</v>
      </c>
      <c r="I183" s="165">
        <v>95.795000000000002</v>
      </c>
      <c r="J183" s="160"/>
      <c r="K183" s="160"/>
      <c r="L183" s="166">
        <v>561.27310999999997</v>
      </c>
      <c r="M183" s="165">
        <v>879.69264999999996</v>
      </c>
      <c r="N183" s="165"/>
      <c r="O183" s="165"/>
      <c r="P183" s="160"/>
      <c r="Q183" s="166"/>
      <c r="R183" s="165"/>
      <c r="S183" s="165"/>
      <c r="T183" s="159"/>
      <c r="U183" s="160"/>
      <c r="V183" s="165"/>
      <c r="W183" s="165"/>
      <c r="X183" s="160"/>
      <c r="Y183" s="166"/>
      <c r="Z183" s="160"/>
      <c r="AA183" s="160"/>
      <c r="AB183" s="165"/>
      <c r="AC183" s="165"/>
      <c r="AD183" s="165"/>
      <c r="AE183" s="165"/>
      <c r="AF183" s="160"/>
      <c r="AG183" s="160"/>
      <c r="AH183" s="160"/>
      <c r="AI183" s="160"/>
      <c r="AJ183" s="161"/>
      <c r="AK183" s="162"/>
      <c r="AL183" s="165"/>
      <c r="AM183" s="166"/>
      <c r="AN183" s="165"/>
      <c r="AO183" s="160"/>
      <c r="AP183" s="162"/>
      <c r="AQ183" s="161"/>
      <c r="AR183" s="162"/>
      <c r="AS183" s="161"/>
      <c r="AT183" s="165"/>
      <c r="AU183" s="166"/>
      <c r="AV183" s="165"/>
      <c r="AW183" s="166"/>
      <c r="AX183" s="165"/>
      <c r="AY183" s="165"/>
      <c r="AZ183" s="165"/>
      <c r="BA183" s="165"/>
      <c r="BB183" s="166"/>
      <c r="BC183" s="165"/>
      <c r="BD183" s="165"/>
      <c r="BE183" s="165"/>
      <c r="BF183" s="165">
        <v>6705.6971800000001</v>
      </c>
      <c r="BG183" s="165">
        <v>36.063000000000002</v>
      </c>
      <c r="BH183" s="165"/>
      <c r="BI183" s="165"/>
      <c r="BJ183" s="166"/>
      <c r="BK183" s="165"/>
      <c r="BL183" s="165"/>
      <c r="BM183" s="163"/>
      <c r="BN183" s="165"/>
      <c r="BO183" s="165"/>
      <c r="BP183" s="165"/>
      <c r="BQ183" s="167"/>
    </row>
    <row r="184" spans="1:270" ht="39.950000000000003" customHeight="1" outlineLevel="1" x14ac:dyDescent="0.3">
      <c r="A184" s="17" t="s">
        <v>258</v>
      </c>
      <c r="B184" s="14" t="s">
        <v>273</v>
      </c>
      <c r="C184" s="9" t="s">
        <v>30</v>
      </c>
      <c r="D184" s="66" t="s">
        <v>1178</v>
      </c>
      <c r="E184" s="158">
        <f t="shared" si="31"/>
        <v>127.08591</v>
      </c>
      <c r="F184" s="159">
        <f t="shared" si="32"/>
        <v>0</v>
      </c>
      <c r="G184" s="160">
        <f t="shared" si="33"/>
        <v>127.08591</v>
      </c>
      <c r="H184" s="166"/>
      <c r="I184" s="165"/>
      <c r="J184" s="160"/>
      <c r="K184" s="160"/>
      <c r="L184" s="166"/>
      <c r="M184" s="165"/>
      <c r="N184" s="165"/>
      <c r="O184" s="165"/>
      <c r="P184" s="160"/>
      <c r="Q184" s="166"/>
      <c r="R184" s="165"/>
      <c r="S184" s="165"/>
      <c r="T184" s="159"/>
      <c r="U184" s="160"/>
      <c r="V184" s="165"/>
      <c r="W184" s="165"/>
      <c r="X184" s="160"/>
      <c r="Y184" s="166"/>
      <c r="Z184" s="160"/>
      <c r="AA184" s="160">
        <v>127.08591</v>
      </c>
      <c r="AB184" s="165"/>
      <c r="AC184" s="165"/>
      <c r="AD184" s="165"/>
      <c r="AE184" s="165"/>
      <c r="AF184" s="160"/>
      <c r="AG184" s="160"/>
      <c r="AH184" s="160"/>
      <c r="AI184" s="160"/>
      <c r="AJ184" s="161"/>
      <c r="AK184" s="162"/>
      <c r="AL184" s="165"/>
      <c r="AM184" s="166"/>
      <c r="AN184" s="165"/>
      <c r="AO184" s="160"/>
      <c r="AP184" s="162"/>
      <c r="AQ184" s="161"/>
      <c r="AR184" s="162"/>
      <c r="AS184" s="161"/>
      <c r="AT184" s="165"/>
      <c r="AU184" s="166"/>
      <c r="AV184" s="165"/>
      <c r="AW184" s="166"/>
      <c r="AX184" s="165"/>
      <c r="AY184" s="165"/>
      <c r="AZ184" s="165"/>
      <c r="BA184" s="165"/>
      <c r="BB184" s="166"/>
      <c r="BC184" s="165"/>
      <c r="BD184" s="165"/>
      <c r="BE184" s="165"/>
      <c r="BF184" s="165"/>
      <c r="BG184" s="165"/>
      <c r="BH184" s="165"/>
      <c r="BI184" s="165"/>
      <c r="BJ184" s="166"/>
      <c r="BK184" s="165"/>
      <c r="BL184" s="165"/>
      <c r="BM184" s="163"/>
      <c r="BN184" s="165"/>
      <c r="BO184" s="165"/>
      <c r="BP184" s="165"/>
      <c r="BQ184" s="167"/>
    </row>
    <row r="185" spans="1:270" ht="39.950000000000003" customHeight="1" outlineLevel="1" x14ac:dyDescent="0.3">
      <c r="A185" s="15" t="s">
        <v>258</v>
      </c>
      <c r="B185" s="14" t="s">
        <v>259</v>
      </c>
      <c r="C185" s="9" t="s">
        <v>6</v>
      </c>
      <c r="D185" s="66" t="s">
        <v>260</v>
      </c>
      <c r="E185" s="158">
        <f t="shared" si="31"/>
        <v>11498.57944</v>
      </c>
      <c r="F185" s="159">
        <f t="shared" si="32"/>
        <v>3239.72579</v>
      </c>
      <c r="G185" s="160">
        <f t="shared" si="33"/>
        <v>8258.8536499999991</v>
      </c>
      <c r="H185" s="166">
        <v>2559.48</v>
      </c>
      <c r="I185" s="160">
        <v>853.16</v>
      </c>
      <c r="J185" s="160"/>
      <c r="K185" s="160"/>
      <c r="L185" s="166">
        <v>644.30659000000003</v>
      </c>
      <c r="M185" s="165">
        <v>1009.83241</v>
      </c>
      <c r="N185" s="165"/>
      <c r="O185" s="165"/>
      <c r="P185" s="160"/>
      <c r="Q185" s="166"/>
      <c r="R185" s="165"/>
      <c r="S185" s="165"/>
      <c r="T185" s="159"/>
      <c r="U185" s="160"/>
      <c r="V185" s="165"/>
      <c r="W185" s="165"/>
      <c r="X185" s="160"/>
      <c r="Y185" s="166"/>
      <c r="Z185" s="160"/>
      <c r="AA185" s="160"/>
      <c r="AB185" s="165"/>
      <c r="AC185" s="165">
        <v>5450.268</v>
      </c>
      <c r="AD185" s="165"/>
      <c r="AE185" s="165"/>
      <c r="AF185" s="160"/>
      <c r="AG185" s="160"/>
      <c r="AH185" s="160"/>
      <c r="AI185" s="160"/>
      <c r="AJ185" s="161"/>
      <c r="AK185" s="162"/>
      <c r="AL185" s="165"/>
      <c r="AM185" s="166"/>
      <c r="AN185" s="165"/>
      <c r="AO185" s="160"/>
      <c r="AP185" s="162"/>
      <c r="AQ185" s="161"/>
      <c r="AR185" s="162"/>
      <c r="AS185" s="161"/>
      <c r="AT185" s="165"/>
      <c r="AU185" s="166"/>
      <c r="AV185" s="165"/>
      <c r="AW185" s="175">
        <v>35.9392</v>
      </c>
      <c r="AX185" s="165">
        <f>7.23449+10.73509</f>
        <v>17.969580000000001</v>
      </c>
      <c r="AY185" s="165"/>
      <c r="AZ185" s="165"/>
      <c r="BA185" s="165">
        <v>54.16966</v>
      </c>
      <c r="BB185" s="166"/>
      <c r="BC185" s="165"/>
      <c r="BD185" s="165"/>
      <c r="BE185" s="165"/>
      <c r="BF185" s="165"/>
      <c r="BG185" s="165">
        <v>498.85</v>
      </c>
      <c r="BH185" s="165"/>
      <c r="BI185" s="165"/>
      <c r="BJ185" s="166"/>
      <c r="BK185" s="165"/>
      <c r="BL185" s="165"/>
      <c r="BM185" s="163"/>
      <c r="BN185" s="165"/>
      <c r="BO185" s="165">
        <v>374.60399999999998</v>
      </c>
      <c r="BP185" s="165"/>
      <c r="BQ185" s="167"/>
    </row>
    <row r="186" spans="1:270" ht="39.950000000000003" customHeight="1" outlineLevel="1" x14ac:dyDescent="0.3">
      <c r="A186" s="17" t="s">
        <v>258</v>
      </c>
      <c r="B186" s="14" t="s">
        <v>262</v>
      </c>
      <c r="C186" s="9" t="s">
        <v>6</v>
      </c>
      <c r="D186" s="66" t="s">
        <v>263</v>
      </c>
      <c r="E186" s="158">
        <f t="shared" si="31"/>
        <v>816.35417000000007</v>
      </c>
      <c r="F186" s="159">
        <f t="shared" si="32"/>
        <v>395.88582000000002</v>
      </c>
      <c r="G186" s="160">
        <f t="shared" si="33"/>
        <v>420.46834999999999</v>
      </c>
      <c r="H186" s="166">
        <v>395.88582000000002</v>
      </c>
      <c r="I186" s="165">
        <v>131.96195</v>
      </c>
      <c r="J186" s="160"/>
      <c r="K186" s="160"/>
      <c r="L186" s="166"/>
      <c r="M186" s="165"/>
      <c r="N186" s="165"/>
      <c r="O186" s="165"/>
      <c r="P186" s="160"/>
      <c r="Q186" s="166"/>
      <c r="R186" s="165"/>
      <c r="S186" s="165"/>
      <c r="T186" s="159"/>
      <c r="U186" s="160"/>
      <c r="V186" s="165"/>
      <c r="W186" s="165"/>
      <c r="X186" s="160"/>
      <c r="Y186" s="166"/>
      <c r="Z186" s="160"/>
      <c r="AA186" s="160"/>
      <c r="AB186" s="165"/>
      <c r="AC186" s="165"/>
      <c r="AD186" s="165"/>
      <c r="AE186" s="165"/>
      <c r="AF186" s="160"/>
      <c r="AG186" s="160"/>
      <c r="AH186" s="160"/>
      <c r="AI186" s="160"/>
      <c r="AJ186" s="161"/>
      <c r="AK186" s="162"/>
      <c r="AL186" s="165"/>
      <c r="AM186" s="166"/>
      <c r="AN186" s="165"/>
      <c r="AO186" s="160"/>
      <c r="AP186" s="162"/>
      <c r="AQ186" s="161"/>
      <c r="AR186" s="162"/>
      <c r="AS186" s="161"/>
      <c r="AT186" s="165"/>
      <c r="AU186" s="166"/>
      <c r="AV186" s="165"/>
      <c r="AW186" s="166"/>
      <c r="AX186" s="165"/>
      <c r="AY186" s="165"/>
      <c r="AZ186" s="165"/>
      <c r="BA186" s="165"/>
      <c r="BB186" s="166"/>
      <c r="BC186" s="165"/>
      <c r="BD186" s="165"/>
      <c r="BE186" s="165"/>
      <c r="BF186" s="165"/>
      <c r="BG186" s="165"/>
      <c r="BH186" s="165"/>
      <c r="BI186" s="165"/>
      <c r="BJ186" s="166"/>
      <c r="BK186" s="165"/>
      <c r="BL186" s="165"/>
      <c r="BM186" s="163"/>
      <c r="BN186" s="165"/>
      <c r="BO186" s="165">
        <v>288.50639999999999</v>
      </c>
      <c r="BP186" s="165"/>
      <c r="BQ186" s="167"/>
    </row>
    <row r="187" spans="1:270" ht="39.950000000000003" customHeight="1" outlineLevel="1" x14ac:dyDescent="0.3">
      <c r="A187" s="17" t="s">
        <v>1272</v>
      </c>
      <c r="B187" s="14" t="s">
        <v>1161</v>
      </c>
      <c r="C187" s="9" t="s">
        <v>6</v>
      </c>
      <c r="D187" s="66" t="s">
        <v>1177</v>
      </c>
      <c r="E187" s="158">
        <f t="shared" si="31"/>
        <v>242.41233</v>
      </c>
      <c r="F187" s="159">
        <f t="shared" si="32"/>
        <v>106.18158</v>
      </c>
      <c r="G187" s="160">
        <f t="shared" si="33"/>
        <v>136.23075</v>
      </c>
      <c r="H187" s="166">
        <v>24.465</v>
      </c>
      <c r="I187" s="165">
        <v>8.1549999999999994</v>
      </c>
      <c r="J187" s="160"/>
      <c r="K187" s="160"/>
      <c r="L187" s="166">
        <v>81.716579999999993</v>
      </c>
      <c r="M187" s="165">
        <v>128.07575</v>
      </c>
      <c r="N187" s="165"/>
      <c r="O187" s="165"/>
      <c r="P187" s="160"/>
      <c r="Q187" s="166"/>
      <c r="R187" s="165"/>
      <c r="S187" s="165"/>
      <c r="T187" s="159"/>
      <c r="U187" s="160"/>
      <c r="V187" s="165"/>
      <c r="W187" s="165"/>
      <c r="X187" s="160"/>
      <c r="Y187" s="166"/>
      <c r="Z187" s="160"/>
      <c r="AA187" s="160"/>
      <c r="AB187" s="165"/>
      <c r="AC187" s="165"/>
      <c r="AD187" s="165"/>
      <c r="AE187" s="165"/>
      <c r="AF187" s="160"/>
      <c r="AG187" s="160"/>
      <c r="AH187" s="160"/>
      <c r="AI187" s="160"/>
      <c r="AJ187" s="161"/>
      <c r="AK187" s="162"/>
      <c r="AL187" s="165"/>
      <c r="AM187" s="166"/>
      <c r="AN187" s="165"/>
      <c r="AO187" s="160"/>
      <c r="AP187" s="162"/>
      <c r="AQ187" s="161"/>
      <c r="AR187" s="162"/>
      <c r="AS187" s="161"/>
      <c r="AT187" s="165"/>
      <c r="AU187" s="166"/>
      <c r="AV187" s="165"/>
      <c r="AW187" s="166"/>
      <c r="AX187" s="165"/>
      <c r="AY187" s="165"/>
      <c r="AZ187" s="165"/>
      <c r="BA187" s="165"/>
      <c r="BB187" s="166"/>
      <c r="BC187" s="165"/>
      <c r="BD187" s="165"/>
      <c r="BE187" s="165"/>
      <c r="BF187" s="165"/>
      <c r="BG187" s="165"/>
      <c r="BH187" s="165"/>
      <c r="BI187" s="165"/>
      <c r="BJ187" s="166"/>
      <c r="BK187" s="165"/>
      <c r="BL187" s="165"/>
      <c r="BM187" s="163"/>
      <c r="BN187" s="165"/>
      <c r="BO187" s="165"/>
      <c r="BP187" s="165"/>
      <c r="BQ187" s="167"/>
    </row>
    <row r="188" spans="1:270" s="34" customFormat="1" ht="39.950000000000003" customHeight="1" x14ac:dyDescent="0.3">
      <c r="A188" s="118" t="s">
        <v>274</v>
      </c>
      <c r="B188" s="120"/>
      <c r="C188" s="116" t="s">
        <v>80</v>
      </c>
      <c r="D188" s="117"/>
      <c r="E188" s="171">
        <f t="shared" ref="E188:AI188" si="34">SUBTOTAL(9,E176:E187)</f>
        <v>24720.502619999999</v>
      </c>
      <c r="F188" s="171">
        <f t="shared" si="34"/>
        <v>5116.4777900000008</v>
      </c>
      <c r="G188" s="171">
        <f t="shared" si="34"/>
        <v>19604.024829999995</v>
      </c>
      <c r="H188" s="171">
        <f t="shared" si="34"/>
        <v>3267.2158199999999</v>
      </c>
      <c r="I188" s="171">
        <f t="shared" si="34"/>
        <v>1089.0719499999998</v>
      </c>
      <c r="J188" s="171">
        <f t="shared" si="34"/>
        <v>0</v>
      </c>
      <c r="K188" s="171">
        <f t="shared" si="34"/>
        <v>0</v>
      </c>
      <c r="L188" s="171">
        <f t="shared" si="34"/>
        <v>1813.32277</v>
      </c>
      <c r="M188" s="171">
        <f t="shared" si="34"/>
        <v>2842.0508500000001</v>
      </c>
      <c r="N188" s="171">
        <f t="shared" si="34"/>
        <v>0</v>
      </c>
      <c r="O188" s="171">
        <f>SUBTOTAL(9,O176:O187)</f>
        <v>0</v>
      </c>
      <c r="P188" s="171">
        <f>SUBTOTAL(9,P176:P187)</f>
        <v>0</v>
      </c>
      <c r="Q188" s="171">
        <f t="shared" si="34"/>
        <v>0</v>
      </c>
      <c r="R188" s="171">
        <f t="shared" si="34"/>
        <v>0</v>
      </c>
      <c r="S188" s="171">
        <f t="shared" si="34"/>
        <v>0</v>
      </c>
      <c r="T188" s="171">
        <f>SUBTOTAL(9,T176:T187)</f>
        <v>0</v>
      </c>
      <c r="U188" s="171">
        <f>SUBTOTAL(9,U176:U187)</f>
        <v>0</v>
      </c>
      <c r="V188" s="171">
        <f t="shared" si="34"/>
        <v>0</v>
      </c>
      <c r="W188" s="171">
        <f t="shared" si="34"/>
        <v>0</v>
      </c>
      <c r="X188" s="171">
        <f>SUBTOTAL(9,X176:X187)</f>
        <v>0</v>
      </c>
      <c r="Y188" s="171">
        <f t="shared" si="34"/>
        <v>0</v>
      </c>
      <c r="Z188" s="171">
        <f t="shared" si="34"/>
        <v>0</v>
      </c>
      <c r="AA188" s="171">
        <f t="shared" si="34"/>
        <v>368.01767999999998</v>
      </c>
      <c r="AB188" s="171">
        <f t="shared" si="34"/>
        <v>0</v>
      </c>
      <c r="AC188" s="171">
        <f t="shared" si="34"/>
        <v>5450.268</v>
      </c>
      <c r="AD188" s="171">
        <f>SUBTOTAL(9,AD176:AD187)</f>
        <v>0</v>
      </c>
      <c r="AE188" s="171">
        <f t="shared" si="34"/>
        <v>0</v>
      </c>
      <c r="AF188" s="171">
        <f t="shared" si="34"/>
        <v>0</v>
      </c>
      <c r="AG188" s="171">
        <f t="shared" si="34"/>
        <v>0</v>
      </c>
      <c r="AH188" s="171">
        <f t="shared" si="34"/>
        <v>0</v>
      </c>
      <c r="AI188" s="171">
        <f t="shared" si="34"/>
        <v>0</v>
      </c>
      <c r="AJ188" s="171">
        <f t="shared" ref="AJ188:BQ188" si="35">SUBTOTAL(9,AJ176:AJ187)</f>
        <v>0</v>
      </c>
      <c r="AK188" s="171">
        <f t="shared" si="35"/>
        <v>0</v>
      </c>
      <c r="AL188" s="171">
        <f t="shared" si="35"/>
        <v>0</v>
      </c>
      <c r="AM188" s="171">
        <f>SUBTOTAL(9,AM176:AM187)</f>
        <v>0</v>
      </c>
      <c r="AN188" s="171">
        <f>SUBTOTAL(9,AN176:AN187)</f>
        <v>0</v>
      </c>
      <c r="AO188" s="171">
        <f>SUBTOTAL(9,AO176:AO187)</f>
        <v>0</v>
      </c>
      <c r="AP188" s="171">
        <f t="shared" si="35"/>
        <v>0</v>
      </c>
      <c r="AQ188" s="171">
        <f t="shared" si="35"/>
        <v>0</v>
      </c>
      <c r="AR188" s="171">
        <f t="shared" si="35"/>
        <v>0</v>
      </c>
      <c r="AS188" s="171">
        <f t="shared" si="35"/>
        <v>0</v>
      </c>
      <c r="AT188" s="171">
        <f>SUBTOTAL(9,AT176:AT187)</f>
        <v>0</v>
      </c>
      <c r="AU188" s="171">
        <f t="shared" si="35"/>
        <v>0</v>
      </c>
      <c r="AV188" s="171">
        <f t="shared" si="35"/>
        <v>0</v>
      </c>
      <c r="AW188" s="171">
        <f t="shared" si="35"/>
        <v>35.9392</v>
      </c>
      <c r="AX188" s="171">
        <f t="shared" si="35"/>
        <v>17.969580000000001</v>
      </c>
      <c r="AY188" s="171">
        <f t="shared" si="35"/>
        <v>0</v>
      </c>
      <c r="AZ188" s="171">
        <f t="shared" si="35"/>
        <v>0</v>
      </c>
      <c r="BA188" s="171">
        <f t="shared" si="35"/>
        <v>54.16966</v>
      </c>
      <c r="BB188" s="171">
        <f t="shared" si="35"/>
        <v>0</v>
      </c>
      <c r="BC188" s="171">
        <f t="shared" si="35"/>
        <v>0</v>
      </c>
      <c r="BD188" s="171">
        <f t="shared" si="35"/>
        <v>0</v>
      </c>
      <c r="BE188" s="171">
        <f t="shared" si="35"/>
        <v>0</v>
      </c>
      <c r="BF188" s="171">
        <f t="shared" si="35"/>
        <v>8584.4537099999998</v>
      </c>
      <c r="BG188" s="171">
        <f t="shared" si="35"/>
        <v>534.91300000000001</v>
      </c>
      <c r="BH188" s="171">
        <f t="shared" si="35"/>
        <v>0</v>
      </c>
      <c r="BI188" s="171">
        <f t="shared" si="35"/>
        <v>0</v>
      </c>
      <c r="BJ188" s="171">
        <f t="shared" si="35"/>
        <v>0</v>
      </c>
      <c r="BK188" s="171">
        <f t="shared" si="35"/>
        <v>0</v>
      </c>
      <c r="BL188" s="171">
        <f t="shared" si="35"/>
        <v>0</v>
      </c>
      <c r="BM188" s="172">
        <f>SUBTOTAL(9,BM176:BM187)</f>
        <v>0</v>
      </c>
      <c r="BN188" s="171">
        <f t="shared" si="35"/>
        <v>0</v>
      </c>
      <c r="BO188" s="171">
        <f t="shared" si="35"/>
        <v>663.11040000000003</v>
      </c>
      <c r="BP188" s="171">
        <f t="shared" si="35"/>
        <v>0</v>
      </c>
      <c r="BQ188" s="172">
        <f t="shared" si="35"/>
        <v>0</v>
      </c>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c r="DV188" s="40"/>
      <c r="DW188" s="40"/>
      <c r="DX188" s="40"/>
      <c r="DY188" s="40"/>
      <c r="DZ188" s="40"/>
      <c r="EA188" s="40"/>
      <c r="EB188" s="40"/>
      <c r="EC188" s="40"/>
      <c r="ED188" s="40"/>
      <c r="EE188" s="40"/>
      <c r="EF188" s="40"/>
      <c r="EG188" s="40"/>
      <c r="EH188" s="40"/>
      <c r="EI188" s="40"/>
      <c r="EJ188" s="40"/>
      <c r="EK188" s="40"/>
      <c r="EL188" s="40"/>
      <c r="EM188" s="40"/>
      <c r="EN188" s="40"/>
      <c r="EO188" s="40"/>
      <c r="EP188" s="40"/>
      <c r="EQ188" s="40"/>
      <c r="ER188" s="40"/>
      <c r="ES188" s="40"/>
      <c r="ET188" s="40"/>
      <c r="EU188" s="40"/>
      <c r="EV188" s="40"/>
      <c r="EW188" s="40"/>
      <c r="EX188" s="40"/>
      <c r="EY188" s="40"/>
      <c r="EZ188" s="40"/>
      <c r="FA188" s="40"/>
      <c r="FB188" s="40"/>
      <c r="FC188" s="40"/>
      <c r="FD188" s="40"/>
      <c r="FE188" s="40"/>
      <c r="FF188" s="40"/>
      <c r="FG188" s="40"/>
      <c r="FH188" s="40"/>
      <c r="FI188" s="40"/>
      <c r="FJ188" s="40"/>
      <c r="FK188" s="40"/>
      <c r="FL188" s="40"/>
      <c r="FM188" s="40"/>
      <c r="FN188" s="40"/>
      <c r="FO188" s="40"/>
      <c r="FP188" s="40"/>
      <c r="FQ188" s="40"/>
      <c r="FR188" s="40"/>
      <c r="FS188" s="40"/>
      <c r="FT188" s="40"/>
      <c r="FU188" s="40"/>
      <c r="FV188" s="40"/>
      <c r="FW188" s="40"/>
      <c r="FX188" s="40"/>
      <c r="FY188" s="40"/>
      <c r="FZ188" s="40"/>
      <c r="GA188" s="40"/>
      <c r="GB188" s="40"/>
      <c r="GC188" s="40"/>
      <c r="GD188" s="40"/>
      <c r="GE188" s="40"/>
      <c r="GF188" s="40"/>
      <c r="GG188" s="40"/>
      <c r="GH188" s="40"/>
      <c r="GI188" s="40"/>
      <c r="GJ188" s="40"/>
      <c r="GK188" s="40"/>
      <c r="GL188" s="40"/>
      <c r="GM188" s="40"/>
      <c r="GN188" s="40"/>
      <c r="GO188" s="40"/>
      <c r="GP188" s="40"/>
      <c r="GQ188" s="40"/>
      <c r="GR188" s="40"/>
      <c r="GS188" s="40"/>
      <c r="GT188" s="40"/>
      <c r="GU188" s="40"/>
      <c r="GV188" s="40"/>
      <c r="GW188" s="40"/>
      <c r="GX188" s="40"/>
      <c r="GY188" s="40"/>
      <c r="GZ188" s="40"/>
      <c r="HA188" s="40"/>
      <c r="HB188" s="40"/>
      <c r="HC188" s="40"/>
      <c r="HD188" s="40"/>
      <c r="HE188" s="40"/>
      <c r="HF188" s="40"/>
      <c r="HG188" s="40"/>
      <c r="HH188" s="40"/>
      <c r="HI188" s="40"/>
      <c r="HJ188" s="40"/>
      <c r="HK188" s="40"/>
      <c r="HL188" s="40"/>
      <c r="HM188" s="40"/>
      <c r="HN188" s="40"/>
      <c r="HO188" s="40"/>
      <c r="HP188" s="40"/>
      <c r="HQ188" s="40"/>
      <c r="HR188" s="40"/>
      <c r="HS188" s="40"/>
      <c r="HT188" s="40"/>
      <c r="HU188" s="40"/>
      <c r="HV188" s="40"/>
      <c r="HW188" s="40"/>
      <c r="HX188" s="40"/>
      <c r="HY188" s="40"/>
      <c r="HZ188" s="40"/>
      <c r="IA188" s="40"/>
      <c r="IB188" s="40"/>
      <c r="IC188" s="40"/>
      <c r="ID188" s="40"/>
      <c r="IE188" s="40"/>
      <c r="IF188" s="40"/>
      <c r="IG188" s="40"/>
      <c r="IH188" s="40"/>
      <c r="II188" s="40"/>
      <c r="IJ188" s="40"/>
      <c r="IK188" s="40"/>
      <c r="IL188" s="40"/>
      <c r="IM188" s="40"/>
      <c r="IN188" s="40"/>
      <c r="IO188" s="40"/>
      <c r="IP188" s="40"/>
      <c r="IQ188" s="40"/>
      <c r="IR188" s="40"/>
      <c r="IS188" s="40"/>
      <c r="IT188" s="40"/>
      <c r="IU188" s="40"/>
      <c r="IV188" s="40"/>
      <c r="IW188" s="40"/>
      <c r="IX188" s="40"/>
      <c r="IY188" s="40"/>
      <c r="IZ188" s="40"/>
      <c r="JA188" s="40"/>
      <c r="JB188" s="40"/>
      <c r="JC188" s="40"/>
      <c r="JD188" s="40"/>
      <c r="JE188" s="40"/>
      <c r="JF188" s="40"/>
      <c r="JG188" s="40"/>
      <c r="JH188" s="40"/>
      <c r="JI188" s="40"/>
      <c r="JJ188" s="40"/>
    </row>
    <row r="189" spans="1:270" ht="39.950000000000003" customHeight="1" outlineLevel="1" x14ac:dyDescent="0.3">
      <c r="A189" s="17" t="s">
        <v>1330</v>
      </c>
      <c r="B189" s="10" t="s">
        <v>1329</v>
      </c>
      <c r="C189" s="9" t="s">
        <v>30</v>
      </c>
      <c r="D189" s="66">
        <v>246308060798</v>
      </c>
      <c r="E189" s="158">
        <f t="shared" ref="E189:E193" si="36">F189+G189</f>
        <v>27637.221579999998</v>
      </c>
      <c r="F189" s="159">
        <f>H189+L189+Q189+Y189+T189+AK189+AP189+AM189+AR189+AU189+AW189+BB189+BJ189</f>
        <v>20597.185669999999</v>
      </c>
      <c r="G189" s="160">
        <f>I189+J189+K189+M189+N189+R189+S189+V189+W189+AD189+O189+X189+Z189+AA189+AB189+AC189+AE189+AF189+P189+U189+AG189+AH189+AI189+AO189+AJ189+AL189+AQ189+AN189+AS189+AV189+AX189+AY189+AZ189+BA189+BC189+BD189+BE189+BF189+BG189+BH189+BI189+AT189+BK189+BL189+BN189+BO189+BP189+BQ189+BM189</f>
        <v>7040.0359100000005</v>
      </c>
      <c r="H189" s="166">
        <v>221.697</v>
      </c>
      <c r="I189" s="165">
        <v>73.899000000000001</v>
      </c>
      <c r="J189" s="160">
        <v>31.98</v>
      </c>
      <c r="K189" s="160"/>
      <c r="L189" s="166">
        <v>74.885419999999996</v>
      </c>
      <c r="M189" s="165">
        <v>117.36915999999999</v>
      </c>
      <c r="N189" s="165"/>
      <c r="O189" s="165"/>
      <c r="P189" s="160"/>
      <c r="Q189" s="166"/>
      <c r="R189" s="165"/>
      <c r="S189" s="165"/>
      <c r="T189" s="159"/>
      <c r="U189" s="160"/>
      <c r="V189" s="165"/>
      <c r="W189" s="165">
        <v>49.92</v>
      </c>
      <c r="X189" s="160"/>
      <c r="Y189" s="166"/>
      <c r="Z189" s="160"/>
      <c r="AA189" s="160"/>
      <c r="AB189" s="165"/>
      <c r="AC189" s="165"/>
      <c r="AD189" s="165"/>
      <c r="AE189" s="165"/>
      <c r="AF189" s="160"/>
      <c r="AG189" s="160"/>
      <c r="AH189" s="160"/>
      <c r="AI189" s="160"/>
      <c r="AJ189" s="161"/>
      <c r="AK189" s="162">
        <v>20300.60325</v>
      </c>
      <c r="AL189" s="165">
        <v>6766.8677500000003</v>
      </c>
      <c r="AM189" s="166"/>
      <c r="AN189" s="165"/>
      <c r="AO189" s="160"/>
      <c r="AP189" s="162"/>
      <c r="AQ189" s="161"/>
      <c r="AR189" s="162"/>
      <c r="AS189" s="161"/>
      <c r="AT189" s="165"/>
      <c r="AU189" s="166"/>
      <c r="AV189" s="165"/>
      <c r="AW189" s="166"/>
      <c r="AX189" s="165"/>
      <c r="AY189" s="165"/>
      <c r="AZ189" s="165"/>
      <c r="BA189" s="165"/>
      <c r="BB189" s="166"/>
      <c r="BC189" s="165"/>
      <c r="BD189" s="165"/>
      <c r="BE189" s="165"/>
      <c r="BF189" s="165"/>
      <c r="BG189" s="165"/>
      <c r="BH189" s="165"/>
      <c r="BI189" s="165"/>
      <c r="BJ189" s="166"/>
      <c r="BK189" s="165"/>
      <c r="BL189" s="165"/>
      <c r="BM189" s="163"/>
      <c r="BN189" s="165"/>
      <c r="BO189" s="165"/>
      <c r="BP189" s="165"/>
      <c r="BQ189" s="167"/>
    </row>
    <row r="190" spans="1:270" ht="39.950000000000003" customHeight="1" outlineLevel="1" x14ac:dyDescent="0.3">
      <c r="A190" s="17" t="s">
        <v>275</v>
      </c>
      <c r="B190" s="10" t="s">
        <v>1474</v>
      </c>
      <c r="C190" s="21" t="s">
        <v>30</v>
      </c>
      <c r="D190" s="67" t="s">
        <v>276</v>
      </c>
      <c r="E190" s="158">
        <f t="shared" si="36"/>
        <v>257.92</v>
      </c>
      <c r="F190" s="159">
        <f>H190+L190+Q190+Y190+T190+AK190+AP190+AM190+AR190+AU190+AW190+BB190+BJ190</f>
        <v>0</v>
      </c>
      <c r="G190" s="160">
        <f>I190+J190+K190+M190+N190+R190+S190+V190+W190+AD190+O190+X190+Z190+AA190+AB190+AC190+AE190+AF190+P190+U190+AG190+AH190+AI190+AO190+AJ190+AL190+AQ190+AN190+AS190+AV190+AX190+AY190+AZ190+BA190+BC190+BD190+BE190+BF190+BG190+BH190+BI190+AT190+BK190+BL190+BN190+BO190+BP190+BQ190+BM190</f>
        <v>257.92</v>
      </c>
      <c r="H190" s="166"/>
      <c r="I190" s="165"/>
      <c r="J190" s="160"/>
      <c r="K190" s="160"/>
      <c r="L190" s="166"/>
      <c r="M190" s="165"/>
      <c r="N190" s="165"/>
      <c r="O190" s="165"/>
      <c r="P190" s="160"/>
      <c r="Q190" s="166"/>
      <c r="R190" s="165"/>
      <c r="S190" s="165"/>
      <c r="T190" s="159"/>
      <c r="U190" s="160"/>
      <c r="V190" s="165"/>
      <c r="W190" s="165">
        <v>257.92</v>
      </c>
      <c r="X190" s="160"/>
      <c r="Y190" s="166"/>
      <c r="Z190" s="160"/>
      <c r="AA190" s="160"/>
      <c r="AB190" s="165"/>
      <c r="AC190" s="165"/>
      <c r="AD190" s="165"/>
      <c r="AE190" s="165"/>
      <c r="AF190" s="160"/>
      <c r="AG190" s="160"/>
      <c r="AH190" s="160"/>
      <c r="AI190" s="160"/>
      <c r="AJ190" s="161"/>
      <c r="AK190" s="162"/>
      <c r="AL190" s="165"/>
      <c r="AM190" s="166"/>
      <c r="AN190" s="165"/>
      <c r="AO190" s="160"/>
      <c r="AP190" s="162"/>
      <c r="AQ190" s="161"/>
      <c r="AR190" s="162"/>
      <c r="AS190" s="161"/>
      <c r="AT190" s="165"/>
      <c r="AU190" s="166"/>
      <c r="AV190" s="165"/>
      <c r="AW190" s="166"/>
      <c r="AX190" s="165"/>
      <c r="AY190" s="165"/>
      <c r="AZ190" s="165"/>
      <c r="BA190" s="165"/>
      <c r="BB190" s="166"/>
      <c r="BC190" s="165"/>
      <c r="BD190" s="165"/>
      <c r="BE190" s="165"/>
      <c r="BF190" s="165"/>
      <c r="BG190" s="165"/>
      <c r="BH190" s="165"/>
      <c r="BI190" s="165"/>
      <c r="BJ190" s="166"/>
      <c r="BK190" s="165"/>
      <c r="BL190" s="165"/>
      <c r="BM190" s="163"/>
      <c r="BN190" s="165"/>
      <c r="BO190" s="165"/>
      <c r="BP190" s="165"/>
      <c r="BQ190" s="167"/>
    </row>
    <row r="191" spans="1:270" ht="39.950000000000003" customHeight="1" outlineLevel="1" x14ac:dyDescent="0.3">
      <c r="A191" s="17" t="s">
        <v>275</v>
      </c>
      <c r="B191" s="10" t="s">
        <v>1550</v>
      </c>
      <c r="C191" s="21" t="s">
        <v>30</v>
      </c>
      <c r="D191" s="67">
        <v>240900497450</v>
      </c>
      <c r="E191" s="158">
        <f t="shared" si="36"/>
        <v>35.904089999999997</v>
      </c>
      <c r="F191" s="159">
        <f>H191+L191+Q191+Y191+T191+AK191+AP191+AM191+AR191+AU191+AW191+BB191+BJ191</f>
        <v>0</v>
      </c>
      <c r="G191" s="160">
        <f>I191+J191+K191+M191+N191+R191+S191+V191+W191+AD191+O191+X191+Z191+AA191+AB191+AC191+AE191+AF191+P191+U191+AG191+AH191+AI191+AO191+AJ191+AL191+AQ191+AN191+AS191+AV191+AX191+AY191+AZ191+BA191+BC191+BD191+BE191+BF191+BG191+BH191+BI191+AT191+BK191+BL191+BN191+BO191+BP191+BQ191+BM191</f>
        <v>35.904089999999997</v>
      </c>
      <c r="H191" s="166"/>
      <c r="I191" s="165"/>
      <c r="J191" s="160"/>
      <c r="K191" s="160"/>
      <c r="L191" s="166"/>
      <c r="M191" s="165"/>
      <c r="N191" s="165"/>
      <c r="O191" s="165"/>
      <c r="P191" s="160"/>
      <c r="Q191" s="166"/>
      <c r="R191" s="165"/>
      <c r="S191" s="165"/>
      <c r="T191" s="159"/>
      <c r="U191" s="160"/>
      <c r="V191" s="165"/>
      <c r="W191" s="165"/>
      <c r="X191" s="160"/>
      <c r="Y191" s="166"/>
      <c r="Z191" s="160"/>
      <c r="AA191" s="160"/>
      <c r="AB191" s="165"/>
      <c r="AC191" s="165"/>
      <c r="AD191" s="165"/>
      <c r="AE191" s="165"/>
      <c r="AF191" s="160"/>
      <c r="AG191" s="160"/>
      <c r="AH191" s="160"/>
      <c r="AI191" s="160"/>
      <c r="AJ191" s="161"/>
      <c r="AK191" s="162"/>
      <c r="AL191" s="165"/>
      <c r="AM191" s="166"/>
      <c r="AN191" s="165"/>
      <c r="AO191" s="160"/>
      <c r="AP191" s="162"/>
      <c r="AQ191" s="161"/>
      <c r="AR191" s="162"/>
      <c r="AS191" s="161"/>
      <c r="AT191" s="165"/>
      <c r="AU191" s="166"/>
      <c r="AV191" s="165"/>
      <c r="AW191" s="166"/>
      <c r="AX191" s="165"/>
      <c r="AY191" s="165"/>
      <c r="AZ191" s="165"/>
      <c r="BA191" s="165">
        <v>35.904089999999997</v>
      </c>
      <c r="BB191" s="166"/>
      <c r="BC191" s="165"/>
      <c r="BD191" s="165"/>
      <c r="BE191" s="165"/>
      <c r="BF191" s="165"/>
      <c r="BG191" s="165"/>
      <c r="BH191" s="165"/>
      <c r="BI191" s="165"/>
      <c r="BJ191" s="166"/>
      <c r="BK191" s="165"/>
      <c r="BL191" s="165"/>
      <c r="BM191" s="163"/>
      <c r="BN191" s="165"/>
      <c r="BO191" s="165"/>
      <c r="BP191" s="165"/>
      <c r="BQ191" s="167"/>
    </row>
    <row r="192" spans="1:270" ht="39.950000000000003" customHeight="1" outlineLevel="1" x14ac:dyDescent="0.3">
      <c r="A192" s="17" t="s">
        <v>275</v>
      </c>
      <c r="B192" s="10" t="s">
        <v>1533</v>
      </c>
      <c r="C192" s="21" t="s">
        <v>30</v>
      </c>
      <c r="D192" s="67">
        <v>245611894898</v>
      </c>
      <c r="E192" s="158">
        <f t="shared" si="36"/>
        <v>3000</v>
      </c>
      <c r="F192" s="159">
        <f>H192+L192+Q192+Y192+T192+AK192+AP192+AM192+AR192+AU192+AW192+BB192+BJ192</f>
        <v>2850</v>
      </c>
      <c r="G192" s="160">
        <f>I192+J192+K192+M192+N192+R192+S192+V192+W192+AD192+O192+X192+Z192+AA192+AB192+AC192+AE192+AF192+P192+U192+AG192+AH192+AI192+AO192+AJ192+AL192+AQ192+AN192+AS192+AV192+AX192+AY192+AZ192+BA192+BC192+BD192+BE192+BF192+BG192+BH192+BI192+AT192+BK192+BL192+BN192+BO192+BP192+BQ192+BM192</f>
        <v>150</v>
      </c>
      <c r="H192" s="166"/>
      <c r="I192" s="165"/>
      <c r="J192" s="160"/>
      <c r="K192" s="160"/>
      <c r="L192" s="166"/>
      <c r="M192" s="165"/>
      <c r="N192" s="165"/>
      <c r="O192" s="165"/>
      <c r="P192" s="160"/>
      <c r="Q192" s="166"/>
      <c r="R192" s="165"/>
      <c r="S192" s="165"/>
      <c r="T192" s="159"/>
      <c r="U192" s="160"/>
      <c r="V192" s="165"/>
      <c r="W192" s="165"/>
      <c r="X192" s="160"/>
      <c r="Y192" s="166"/>
      <c r="Z192" s="160"/>
      <c r="AA192" s="160"/>
      <c r="AB192" s="165"/>
      <c r="AC192" s="165"/>
      <c r="AD192" s="165"/>
      <c r="AE192" s="165"/>
      <c r="AF192" s="160"/>
      <c r="AG192" s="160"/>
      <c r="AH192" s="160"/>
      <c r="AI192" s="160"/>
      <c r="AJ192" s="161"/>
      <c r="AK192" s="162"/>
      <c r="AL192" s="165"/>
      <c r="AM192" s="166">
        <v>2850</v>
      </c>
      <c r="AN192" s="165">
        <v>150</v>
      </c>
      <c r="AO192" s="160"/>
      <c r="AP192" s="162"/>
      <c r="AQ192" s="161"/>
      <c r="AR192" s="162"/>
      <c r="AS192" s="161"/>
      <c r="AT192" s="165"/>
      <c r="AU192" s="166"/>
      <c r="AV192" s="165"/>
      <c r="AW192" s="166"/>
      <c r="AX192" s="165"/>
      <c r="AY192" s="165"/>
      <c r="AZ192" s="165"/>
      <c r="BA192" s="165"/>
      <c r="BB192" s="166"/>
      <c r="BC192" s="165"/>
      <c r="BD192" s="165"/>
      <c r="BE192" s="165"/>
      <c r="BF192" s="165"/>
      <c r="BG192" s="165"/>
      <c r="BH192" s="165"/>
      <c r="BI192" s="165"/>
      <c r="BJ192" s="166"/>
      <c r="BK192" s="165"/>
      <c r="BL192" s="165"/>
      <c r="BM192" s="163"/>
      <c r="BN192" s="165"/>
      <c r="BO192" s="165"/>
      <c r="BP192" s="165"/>
      <c r="BQ192" s="167"/>
    </row>
    <row r="193" spans="1:270" ht="39.950000000000003" customHeight="1" outlineLevel="1" x14ac:dyDescent="0.3">
      <c r="A193" s="17" t="s">
        <v>275</v>
      </c>
      <c r="B193" s="10" t="s">
        <v>1475</v>
      </c>
      <c r="C193" s="21" t="s">
        <v>30</v>
      </c>
      <c r="D193" s="67" t="s">
        <v>277</v>
      </c>
      <c r="E193" s="158">
        <f t="shared" si="36"/>
        <v>351.52992</v>
      </c>
      <c r="F193" s="159">
        <f>H193+L193+Q193+Y193+T193+AK193+AP193+AM193+AR193+AU193+AW193+BB193+BJ193</f>
        <v>0</v>
      </c>
      <c r="G193" s="160">
        <f>I193+J193+K193+M193+N193+R193+S193+V193+W193+AD193+O193+X193+Z193+AA193+AB193+AC193+AE193+AF193+P193+U193+AG193+AH193+AI193+AO193+AJ193+AL193+AQ193+AN193+AS193+AV193+AX193+AY193+AZ193+BA193+BC193+BD193+BE193+BF193+BG193+BH193+BI193+AT193+BK193+BL193+BN193+BO193+BP193+BQ193+BM193</f>
        <v>351.52992</v>
      </c>
      <c r="H193" s="166"/>
      <c r="I193" s="165"/>
      <c r="J193" s="160"/>
      <c r="K193" s="160"/>
      <c r="L193" s="166"/>
      <c r="M193" s="165"/>
      <c r="N193" s="165"/>
      <c r="O193" s="165"/>
      <c r="P193" s="160"/>
      <c r="Q193" s="166"/>
      <c r="R193" s="165"/>
      <c r="S193" s="165"/>
      <c r="T193" s="159"/>
      <c r="U193" s="160"/>
      <c r="V193" s="165"/>
      <c r="W193" s="165"/>
      <c r="X193" s="160"/>
      <c r="Y193" s="166"/>
      <c r="Z193" s="160"/>
      <c r="AA193" s="160"/>
      <c r="AB193" s="165"/>
      <c r="AC193" s="165"/>
      <c r="AD193" s="165"/>
      <c r="AE193" s="165"/>
      <c r="AF193" s="160"/>
      <c r="AG193" s="160"/>
      <c r="AH193" s="160"/>
      <c r="AI193" s="160"/>
      <c r="AJ193" s="161"/>
      <c r="AK193" s="162"/>
      <c r="AL193" s="165"/>
      <c r="AM193" s="166"/>
      <c r="AN193" s="165"/>
      <c r="AO193" s="160"/>
      <c r="AP193" s="162"/>
      <c r="AQ193" s="161"/>
      <c r="AR193" s="162"/>
      <c r="AS193" s="161"/>
      <c r="AT193" s="165"/>
      <c r="AU193" s="166"/>
      <c r="AV193" s="165"/>
      <c r="AW193" s="166"/>
      <c r="AX193" s="165"/>
      <c r="AY193" s="165"/>
      <c r="AZ193" s="165"/>
      <c r="BA193" s="165"/>
      <c r="BB193" s="166"/>
      <c r="BC193" s="165"/>
      <c r="BD193" s="165"/>
      <c r="BE193" s="165"/>
      <c r="BF193" s="165"/>
      <c r="BG193" s="165"/>
      <c r="BH193" s="165"/>
      <c r="BI193" s="165"/>
      <c r="BJ193" s="166"/>
      <c r="BK193" s="165"/>
      <c r="BL193" s="165"/>
      <c r="BM193" s="163"/>
      <c r="BN193" s="165"/>
      <c r="BO193" s="165">
        <v>351.52992</v>
      </c>
      <c r="BP193" s="165"/>
      <c r="BQ193" s="167"/>
    </row>
    <row r="194" spans="1:270" s="34" customFormat="1" ht="39.950000000000003" customHeight="1" x14ac:dyDescent="0.3">
      <c r="A194" s="114" t="s">
        <v>278</v>
      </c>
      <c r="B194" s="115"/>
      <c r="C194" s="116" t="s">
        <v>80</v>
      </c>
      <c r="D194" s="117"/>
      <c r="E194" s="171">
        <f t="shared" ref="E194:AI194" si="37">SUBTOTAL(9,E189:E193)</f>
        <v>31282.575589999997</v>
      </c>
      <c r="F194" s="171">
        <f t="shared" si="37"/>
        <v>23447.185669999999</v>
      </c>
      <c r="G194" s="171">
        <f t="shared" si="37"/>
        <v>7835.3899200000005</v>
      </c>
      <c r="H194" s="171">
        <f t="shared" si="37"/>
        <v>221.697</v>
      </c>
      <c r="I194" s="171">
        <f t="shared" si="37"/>
        <v>73.899000000000001</v>
      </c>
      <c r="J194" s="171">
        <f t="shared" si="37"/>
        <v>31.98</v>
      </c>
      <c r="K194" s="171">
        <f t="shared" si="37"/>
        <v>0</v>
      </c>
      <c r="L194" s="171">
        <f t="shared" si="37"/>
        <v>74.885419999999996</v>
      </c>
      <c r="M194" s="171">
        <f t="shared" si="37"/>
        <v>117.36915999999999</v>
      </c>
      <c r="N194" s="171">
        <f t="shared" si="37"/>
        <v>0</v>
      </c>
      <c r="O194" s="171">
        <f>SUBTOTAL(9,O189:O193)</f>
        <v>0</v>
      </c>
      <c r="P194" s="171">
        <f>SUBTOTAL(9,P189:P193)</f>
        <v>0</v>
      </c>
      <c r="Q194" s="171">
        <f t="shared" si="37"/>
        <v>0</v>
      </c>
      <c r="R194" s="171">
        <f t="shared" si="37"/>
        <v>0</v>
      </c>
      <c r="S194" s="171">
        <f t="shared" si="37"/>
        <v>0</v>
      </c>
      <c r="T194" s="171">
        <f>SUBTOTAL(9,T189:T193)</f>
        <v>0</v>
      </c>
      <c r="U194" s="171">
        <f>SUBTOTAL(9,U189:U193)</f>
        <v>0</v>
      </c>
      <c r="V194" s="171">
        <f t="shared" si="37"/>
        <v>0</v>
      </c>
      <c r="W194" s="171">
        <f t="shared" si="37"/>
        <v>307.84000000000003</v>
      </c>
      <c r="X194" s="171">
        <f>SUBTOTAL(9,X189:X193)</f>
        <v>0</v>
      </c>
      <c r="Y194" s="171">
        <f t="shared" si="37"/>
        <v>0</v>
      </c>
      <c r="Z194" s="171">
        <f t="shared" si="37"/>
        <v>0</v>
      </c>
      <c r="AA194" s="171">
        <f t="shared" si="37"/>
        <v>0</v>
      </c>
      <c r="AB194" s="171">
        <f t="shared" si="37"/>
        <v>0</v>
      </c>
      <c r="AC194" s="171">
        <f t="shared" si="37"/>
        <v>0</v>
      </c>
      <c r="AD194" s="171">
        <f>SUBTOTAL(9,AD189:AD193)</f>
        <v>0</v>
      </c>
      <c r="AE194" s="171">
        <f t="shared" si="37"/>
        <v>0</v>
      </c>
      <c r="AF194" s="171">
        <f t="shared" si="37"/>
        <v>0</v>
      </c>
      <c r="AG194" s="171">
        <f t="shared" si="37"/>
        <v>0</v>
      </c>
      <c r="AH194" s="171">
        <f t="shared" si="37"/>
        <v>0</v>
      </c>
      <c r="AI194" s="171">
        <f t="shared" si="37"/>
        <v>0</v>
      </c>
      <c r="AJ194" s="171">
        <f t="shared" ref="AJ194:BQ194" si="38">SUBTOTAL(9,AJ189:AJ193)</f>
        <v>0</v>
      </c>
      <c r="AK194" s="171">
        <f t="shared" si="38"/>
        <v>20300.60325</v>
      </c>
      <c r="AL194" s="171">
        <f t="shared" si="38"/>
        <v>6766.8677500000003</v>
      </c>
      <c r="AM194" s="171">
        <f>SUBTOTAL(9,AM189:AM193)</f>
        <v>2850</v>
      </c>
      <c r="AN194" s="171">
        <f>SUBTOTAL(9,AN189:AN193)</f>
        <v>150</v>
      </c>
      <c r="AO194" s="171">
        <f>SUBTOTAL(9,AO189:AO193)</f>
        <v>0</v>
      </c>
      <c r="AP194" s="171">
        <f t="shared" si="38"/>
        <v>0</v>
      </c>
      <c r="AQ194" s="171">
        <f t="shared" si="38"/>
        <v>0</v>
      </c>
      <c r="AR194" s="171">
        <f t="shared" si="38"/>
        <v>0</v>
      </c>
      <c r="AS194" s="171">
        <f t="shared" si="38"/>
        <v>0</v>
      </c>
      <c r="AT194" s="171">
        <f>SUBTOTAL(9,AT189:AT193)</f>
        <v>0</v>
      </c>
      <c r="AU194" s="171">
        <f t="shared" si="38"/>
        <v>0</v>
      </c>
      <c r="AV194" s="171">
        <f t="shared" si="38"/>
        <v>0</v>
      </c>
      <c r="AW194" s="171">
        <f t="shared" si="38"/>
        <v>0</v>
      </c>
      <c r="AX194" s="171">
        <f t="shared" si="38"/>
        <v>0</v>
      </c>
      <c r="AY194" s="171">
        <f t="shared" si="38"/>
        <v>0</v>
      </c>
      <c r="AZ194" s="171">
        <f t="shared" si="38"/>
        <v>0</v>
      </c>
      <c r="BA194" s="171">
        <f t="shared" si="38"/>
        <v>35.904089999999997</v>
      </c>
      <c r="BB194" s="171">
        <f t="shared" si="38"/>
        <v>0</v>
      </c>
      <c r="BC194" s="171">
        <f t="shared" si="38"/>
        <v>0</v>
      </c>
      <c r="BD194" s="171">
        <f t="shared" si="38"/>
        <v>0</v>
      </c>
      <c r="BE194" s="171">
        <f t="shared" si="38"/>
        <v>0</v>
      </c>
      <c r="BF194" s="171">
        <f t="shared" si="38"/>
        <v>0</v>
      </c>
      <c r="BG194" s="171">
        <f t="shared" si="38"/>
        <v>0</v>
      </c>
      <c r="BH194" s="171">
        <f t="shared" si="38"/>
        <v>0</v>
      </c>
      <c r="BI194" s="171">
        <f t="shared" si="38"/>
        <v>0</v>
      </c>
      <c r="BJ194" s="171">
        <f t="shared" si="38"/>
        <v>0</v>
      </c>
      <c r="BK194" s="171">
        <f t="shared" si="38"/>
        <v>0</v>
      </c>
      <c r="BL194" s="171">
        <f t="shared" si="38"/>
        <v>0</v>
      </c>
      <c r="BM194" s="172">
        <f>SUBTOTAL(9,BM189:BM193)</f>
        <v>0</v>
      </c>
      <c r="BN194" s="171">
        <f t="shared" si="38"/>
        <v>0</v>
      </c>
      <c r="BO194" s="171">
        <f t="shared" si="38"/>
        <v>351.52992</v>
      </c>
      <c r="BP194" s="171">
        <f t="shared" si="38"/>
        <v>0</v>
      </c>
      <c r="BQ194" s="172">
        <f t="shared" si="38"/>
        <v>0</v>
      </c>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c r="DV194" s="40"/>
      <c r="DW194" s="40"/>
      <c r="DX194" s="40"/>
      <c r="DY194" s="40"/>
      <c r="DZ194" s="40"/>
      <c r="EA194" s="40"/>
      <c r="EB194" s="40"/>
      <c r="EC194" s="40"/>
      <c r="ED194" s="40"/>
      <c r="EE194" s="40"/>
      <c r="EF194" s="40"/>
      <c r="EG194" s="40"/>
      <c r="EH194" s="40"/>
      <c r="EI194" s="40"/>
      <c r="EJ194" s="40"/>
      <c r="EK194" s="40"/>
      <c r="EL194" s="40"/>
      <c r="EM194" s="40"/>
      <c r="EN194" s="40"/>
      <c r="EO194" s="40"/>
      <c r="EP194" s="40"/>
      <c r="EQ194" s="40"/>
      <c r="ER194" s="40"/>
      <c r="ES194" s="40"/>
      <c r="ET194" s="40"/>
      <c r="EU194" s="40"/>
      <c r="EV194" s="40"/>
      <c r="EW194" s="40"/>
      <c r="EX194" s="40"/>
      <c r="EY194" s="40"/>
      <c r="EZ194" s="40"/>
      <c r="FA194" s="40"/>
      <c r="FB194" s="40"/>
      <c r="FC194" s="40"/>
      <c r="FD194" s="40"/>
      <c r="FE194" s="40"/>
      <c r="FF194" s="40"/>
      <c r="FG194" s="40"/>
      <c r="FH194" s="40"/>
      <c r="FI194" s="40"/>
      <c r="FJ194" s="40"/>
      <c r="FK194" s="40"/>
      <c r="FL194" s="40"/>
      <c r="FM194" s="40"/>
      <c r="FN194" s="40"/>
      <c r="FO194" s="40"/>
      <c r="FP194" s="40"/>
      <c r="FQ194" s="40"/>
      <c r="FR194" s="40"/>
      <c r="FS194" s="40"/>
      <c r="FT194" s="40"/>
      <c r="FU194" s="40"/>
      <c r="FV194" s="40"/>
      <c r="FW194" s="40"/>
      <c r="FX194" s="40"/>
      <c r="FY194" s="40"/>
      <c r="FZ194" s="40"/>
      <c r="GA194" s="40"/>
      <c r="GB194" s="40"/>
      <c r="GC194" s="40"/>
      <c r="GD194" s="40"/>
      <c r="GE194" s="40"/>
      <c r="GF194" s="40"/>
      <c r="GG194" s="40"/>
      <c r="GH194" s="40"/>
      <c r="GI194" s="40"/>
      <c r="GJ194" s="40"/>
      <c r="GK194" s="40"/>
      <c r="GL194" s="40"/>
      <c r="GM194" s="40"/>
      <c r="GN194" s="40"/>
      <c r="GO194" s="40"/>
      <c r="GP194" s="40"/>
      <c r="GQ194" s="40"/>
      <c r="GR194" s="40"/>
      <c r="GS194" s="40"/>
      <c r="GT194" s="40"/>
      <c r="GU194" s="40"/>
      <c r="GV194" s="40"/>
      <c r="GW194" s="40"/>
      <c r="GX194" s="40"/>
      <c r="GY194" s="40"/>
      <c r="GZ194" s="40"/>
      <c r="HA194" s="40"/>
      <c r="HB194" s="40"/>
      <c r="HC194" s="40"/>
      <c r="HD194" s="40"/>
      <c r="HE194" s="40"/>
      <c r="HF194" s="40"/>
      <c r="HG194" s="40"/>
      <c r="HH194" s="40"/>
      <c r="HI194" s="40"/>
      <c r="HJ194" s="40"/>
      <c r="HK194" s="40"/>
      <c r="HL194" s="40"/>
      <c r="HM194" s="40"/>
      <c r="HN194" s="40"/>
      <c r="HO194" s="40"/>
      <c r="HP194" s="40"/>
      <c r="HQ194" s="40"/>
      <c r="HR194" s="40"/>
      <c r="HS194" s="40"/>
      <c r="HT194" s="40"/>
      <c r="HU194" s="40"/>
      <c r="HV194" s="40"/>
      <c r="HW194" s="40"/>
      <c r="HX194" s="40"/>
      <c r="HY194" s="40"/>
      <c r="HZ194" s="40"/>
      <c r="IA194" s="40"/>
      <c r="IB194" s="40"/>
      <c r="IC194" s="40"/>
      <c r="ID194" s="40"/>
      <c r="IE194" s="40"/>
      <c r="IF194" s="40"/>
      <c r="IG194" s="40"/>
      <c r="IH194" s="40"/>
      <c r="II194" s="40"/>
      <c r="IJ194" s="40"/>
      <c r="IK194" s="40"/>
      <c r="IL194" s="40"/>
      <c r="IM194" s="40"/>
      <c r="IN194" s="40"/>
      <c r="IO194" s="40"/>
      <c r="IP194" s="40"/>
      <c r="IQ194" s="40"/>
      <c r="IR194" s="40"/>
      <c r="IS194" s="40"/>
      <c r="IT194" s="40"/>
      <c r="IU194" s="40"/>
      <c r="IV194" s="40"/>
      <c r="IW194" s="40"/>
      <c r="IX194" s="40"/>
      <c r="IY194" s="40"/>
      <c r="IZ194" s="40"/>
      <c r="JA194" s="40"/>
      <c r="JB194" s="40"/>
      <c r="JC194" s="40"/>
      <c r="JD194" s="40"/>
      <c r="JE194" s="40"/>
      <c r="JF194" s="40"/>
      <c r="JG194" s="40"/>
      <c r="JH194" s="40"/>
      <c r="JI194" s="40"/>
      <c r="JJ194" s="40"/>
    </row>
    <row r="195" spans="1:270" ht="39.950000000000003" customHeight="1" outlineLevel="1" x14ac:dyDescent="0.3">
      <c r="A195" s="15" t="s">
        <v>279</v>
      </c>
      <c r="B195" s="14" t="s">
        <v>297</v>
      </c>
      <c r="C195" s="9" t="s">
        <v>28</v>
      </c>
      <c r="D195" s="66" t="s">
        <v>298</v>
      </c>
      <c r="E195" s="158">
        <f t="shared" ref="E195:E218" si="39">F195+G195</f>
        <v>4393.0817399999996</v>
      </c>
      <c r="F195" s="159">
        <f t="shared" ref="F195:F236" si="40">H195+L195+Q195+Y195+T195+AK195+AP195+AM195+AR195+AU195+AW195+BB195+BJ195</f>
        <v>906.87549999999987</v>
      </c>
      <c r="G195" s="160">
        <f t="shared" ref="G195:G236" si="41">I195+J195+K195+M195+N195+R195+S195+V195+W195+AD195+O195+X195+Z195+AA195+AB195+AC195+AE195+AF195+P195+U195+AG195+AH195+AI195+AO195+AJ195+AL195+AQ195+AN195+AS195+AV195+AX195+AY195+AZ195+BA195+BC195+BD195+BE195+BF195+BG195+BH195+BI195+AT195+BK195+BL195+BN195+BO195+BP195+BQ195+BM195</f>
        <v>3486.20624</v>
      </c>
      <c r="H195" s="166">
        <v>624.03599999999994</v>
      </c>
      <c r="I195" s="165">
        <v>208.012</v>
      </c>
      <c r="J195" s="160"/>
      <c r="K195" s="160"/>
      <c r="L195" s="166">
        <v>164.96214000000001</v>
      </c>
      <c r="M195" s="165">
        <v>258.54790000000003</v>
      </c>
      <c r="N195" s="165"/>
      <c r="O195" s="165"/>
      <c r="P195" s="160"/>
      <c r="Q195" s="166"/>
      <c r="R195" s="165"/>
      <c r="S195" s="165"/>
      <c r="T195" s="159"/>
      <c r="U195" s="160"/>
      <c r="V195" s="165"/>
      <c r="W195" s="165"/>
      <c r="X195" s="160"/>
      <c r="Y195" s="166"/>
      <c r="Z195" s="160"/>
      <c r="AA195" s="160"/>
      <c r="AB195" s="165"/>
      <c r="AC195" s="165"/>
      <c r="AD195" s="165"/>
      <c r="AE195" s="165"/>
      <c r="AF195" s="160"/>
      <c r="AG195" s="160"/>
      <c r="AH195" s="160"/>
      <c r="AI195" s="160"/>
      <c r="AJ195" s="161"/>
      <c r="AK195" s="162"/>
      <c r="AL195" s="165"/>
      <c r="AM195" s="166"/>
      <c r="AN195" s="165"/>
      <c r="AO195" s="160"/>
      <c r="AP195" s="162"/>
      <c r="AQ195" s="161"/>
      <c r="AR195" s="162"/>
      <c r="AS195" s="161"/>
      <c r="AT195" s="165"/>
      <c r="AU195" s="166"/>
      <c r="AV195" s="165"/>
      <c r="AW195" s="166">
        <v>117.87736</v>
      </c>
      <c r="AX195" s="165">
        <f>23.72859+35.21012</f>
        <v>58.93871</v>
      </c>
      <c r="AY195" s="165"/>
      <c r="AZ195" s="165"/>
      <c r="BA195" s="165">
        <v>51.2331</v>
      </c>
      <c r="BB195" s="166"/>
      <c r="BC195" s="165"/>
      <c r="BD195" s="165"/>
      <c r="BE195" s="165"/>
      <c r="BF195" s="165">
        <v>134.47452999999999</v>
      </c>
      <c r="BG195" s="165"/>
      <c r="BH195" s="165">
        <v>2775</v>
      </c>
      <c r="BI195" s="165"/>
      <c r="BJ195" s="166"/>
      <c r="BK195" s="165"/>
      <c r="BL195" s="165"/>
      <c r="BM195" s="163"/>
      <c r="BN195" s="165"/>
      <c r="BO195" s="165"/>
      <c r="BP195" s="165"/>
      <c r="BQ195" s="167"/>
    </row>
    <row r="196" spans="1:270" ht="39.950000000000003" customHeight="1" outlineLevel="1" x14ac:dyDescent="0.3">
      <c r="A196" s="12" t="s">
        <v>279</v>
      </c>
      <c r="B196" s="10" t="s">
        <v>314</v>
      </c>
      <c r="C196" s="9" t="s">
        <v>28</v>
      </c>
      <c r="D196" s="68">
        <v>245200741824</v>
      </c>
      <c r="E196" s="158">
        <f t="shared" si="39"/>
        <v>175.34827000000001</v>
      </c>
      <c r="F196" s="159">
        <f t="shared" si="40"/>
        <v>68.300210000000007</v>
      </c>
      <c r="G196" s="160">
        <f t="shared" si="41"/>
        <v>107.04806000000001</v>
      </c>
      <c r="H196" s="166"/>
      <c r="I196" s="165"/>
      <c r="J196" s="160"/>
      <c r="K196" s="160"/>
      <c r="L196" s="166">
        <v>68.300210000000007</v>
      </c>
      <c r="M196" s="165">
        <v>107.04806000000001</v>
      </c>
      <c r="N196" s="165"/>
      <c r="O196" s="165"/>
      <c r="P196" s="160"/>
      <c r="Q196" s="166"/>
      <c r="R196" s="165"/>
      <c r="S196" s="165"/>
      <c r="T196" s="159"/>
      <c r="U196" s="160"/>
      <c r="V196" s="165"/>
      <c r="W196" s="165"/>
      <c r="X196" s="160"/>
      <c r="Y196" s="166"/>
      <c r="Z196" s="160"/>
      <c r="AA196" s="160"/>
      <c r="AB196" s="165"/>
      <c r="AC196" s="165"/>
      <c r="AD196" s="165"/>
      <c r="AE196" s="165"/>
      <c r="AF196" s="160"/>
      <c r="AG196" s="160"/>
      <c r="AH196" s="160"/>
      <c r="AI196" s="160"/>
      <c r="AJ196" s="161"/>
      <c r="AK196" s="162"/>
      <c r="AL196" s="165"/>
      <c r="AM196" s="166"/>
      <c r="AN196" s="165"/>
      <c r="AO196" s="160"/>
      <c r="AP196" s="162"/>
      <c r="AQ196" s="161"/>
      <c r="AR196" s="162"/>
      <c r="AS196" s="161"/>
      <c r="AT196" s="165"/>
      <c r="AU196" s="166"/>
      <c r="AV196" s="165"/>
      <c r="AW196" s="166"/>
      <c r="AX196" s="165"/>
      <c r="AY196" s="165"/>
      <c r="AZ196" s="165"/>
      <c r="BA196" s="165"/>
      <c r="BB196" s="166"/>
      <c r="BC196" s="165"/>
      <c r="BD196" s="165"/>
      <c r="BE196" s="165"/>
      <c r="BF196" s="165"/>
      <c r="BG196" s="165"/>
      <c r="BH196" s="165"/>
      <c r="BI196" s="165"/>
      <c r="BJ196" s="166"/>
      <c r="BK196" s="165"/>
      <c r="BL196" s="165"/>
      <c r="BM196" s="163"/>
      <c r="BN196" s="165"/>
      <c r="BO196" s="165"/>
      <c r="BP196" s="165"/>
      <c r="BQ196" s="167"/>
    </row>
    <row r="197" spans="1:270" ht="39.950000000000003" customHeight="1" outlineLevel="1" x14ac:dyDescent="0.3">
      <c r="A197" s="12" t="s">
        <v>279</v>
      </c>
      <c r="B197" s="14" t="s">
        <v>315</v>
      </c>
      <c r="C197" s="9" t="s">
        <v>28</v>
      </c>
      <c r="D197" s="68">
        <v>241001395107</v>
      </c>
      <c r="E197" s="158">
        <f t="shared" si="39"/>
        <v>231.43637999999999</v>
      </c>
      <c r="F197" s="159">
        <f t="shared" si="40"/>
        <v>90.147189999999995</v>
      </c>
      <c r="G197" s="160">
        <f t="shared" si="41"/>
        <v>141.28918999999999</v>
      </c>
      <c r="H197" s="166"/>
      <c r="I197" s="165"/>
      <c r="J197" s="160"/>
      <c r="K197" s="160"/>
      <c r="L197" s="166">
        <v>90.147189999999995</v>
      </c>
      <c r="M197" s="165">
        <v>141.28918999999999</v>
      </c>
      <c r="N197" s="165"/>
      <c r="O197" s="165"/>
      <c r="P197" s="160"/>
      <c r="Q197" s="166"/>
      <c r="R197" s="165"/>
      <c r="S197" s="165"/>
      <c r="T197" s="159"/>
      <c r="U197" s="160"/>
      <c r="V197" s="165"/>
      <c r="W197" s="165"/>
      <c r="X197" s="160"/>
      <c r="Y197" s="166"/>
      <c r="Z197" s="160"/>
      <c r="AA197" s="160"/>
      <c r="AB197" s="165"/>
      <c r="AC197" s="165"/>
      <c r="AD197" s="165"/>
      <c r="AE197" s="165"/>
      <c r="AF197" s="160"/>
      <c r="AG197" s="160"/>
      <c r="AH197" s="160"/>
      <c r="AI197" s="160"/>
      <c r="AJ197" s="161"/>
      <c r="AK197" s="162"/>
      <c r="AL197" s="165"/>
      <c r="AM197" s="166"/>
      <c r="AN197" s="165"/>
      <c r="AO197" s="160"/>
      <c r="AP197" s="162"/>
      <c r="AQ197" s="161"/>
      <c r="AR197" s="162"/>
      <c r="AS197" s="161"/>
      <c r="AT197" s="165"/>
      <c r="AU197" s="166"/>
      <c r="AV197" s="165"/>
      <c r="AW197" s="166"/>
      <c r="AX197" s="165"/>
      <c r="AY197" s="165"/>
      <c r="AZ197" s="165"/>
      <c r="BA197" s="165"/>
      <c r="BB197" s="166"/>
      <c r="BC197" s="165"/>
      <c r="BD197" s="165"/>
      <c r="BE197" s="165"/>
      <c r="BF197" s="165"/>
      <c r="BG197" s="165"/>
      <c r="BH197" s="165"/>
      <c r="BI197" s="165"/>
      <c r="BJ197" s="166"/>
      <c r="BK197" s="165"/>
      <c r="BL197" s="165"/>
      <c r="BM197" s="163"/>
      <c r="BN197" s="165"/>
      <c r="BO197" s="165"/>
      <c r="BP197" s="165"/>
      <c r="BQ197" s="167"/>
    </row>
    <row r="198" spans="1:270" ht="39.950000000000003" customHeight="1" outlineLevel="1" x14ac:dyDescent="0.3">
      <c r="A198" s="12" t="s">
        <v>279</v>
      </c>
      <c r="B198" s="14" t="s">
        <v>320</v>
      </c>
      <c r="C198" s="9" t="s">
        <v>28</v>
      </c>
      <c r="D198" s="66" t="s">
        <v>1185</v>
      </c>
      <c r="E198" s="158">
        <f t="shared" si="39"/>
        <v>23.57516</v>
      </c>
      <c r="F198" s="159">
        <f t="shared" si="40"/>
        <v>9.1828000000000003</v>
      </c>
      <c r="G198" s="160">
        <f t="shared" si="41"/>
        <v>14.39236</v>
      </c>
      <c r="H198" s="162"/>
      <c r="I198" s="161"/>
      <c r="J198" s="161"/>
      <c r="K198" s="161"/>
      <c r="L198" s="166">
        <v>9.1828000000000003</v>
      </c>
      <c r="M198" s="165">
        <v>14.39236</v>
      </c>
      <c r="N198" s="165"/>
      <c r="O198" s="165"/>
      <c r="P198" s="160"/>
      <c r="Q198" s="166"/>
      <c r="R198" s="165"/>
      <c r="S198" s="165"/>
      <c r="T198" s="159"/>
      <c r="U198" s="160"/>
      <c r="V198" s="165"/>
      <c r="W198" s="165"/>
      <c r="X198" s="161"/>
      <c r="Y198" s="166"/>
      <c r="Z198" s="160"/>
      <c r="AA198" s="160"/>
      <c r="AB198" s="165"/>
      <c r="AC198" s="165"/>
      <c r="AD198" s="165"/>
      <c r="AE198" s="165"/>
      <c r="AF198" s="160"/>
      <c r="AG198" s="161"/>
      <c r="AH198" s="161"/>
      <c r="AI198" s="161"/>
      <c r="AJ198" s="161"/>
      <c r="AK198" s="162"/>
      <c r="AL198" s="165"/>
      <c r="AM198" s="166"/>
      <c r="AN198" s="165"/>
      <c r="AO198" s="161"/>
      <c r="AP198" s="162"/>
      <c r="AQ198" s="161"/>
      <c r="AR198" s="162"/>
      <c r="AS198" s="161"/>
      <c r="AT198" s="165"/>
      <c r="AU198" s="166"/>
      <c r="AV198" s="165"/>
      <c r="AW198" s="162"/>
      <c r="AX198" s="161"/>
      <c r="AY198" s="161"/>
      <c r="AZ198" s="161"/>
      <c r="BA198" s="161"/>
      <c r="BB198" s="166"/>
      <c r="BC198" s="165"/>
      <c r="BD198" s="165"/>
      <c r="BE198" s="165"/>
      <c r="BF198" s="165"/>
      <c r="BG198" s="165"/>
      <c r="BH198" s="165"/>
      <c r="BI198" s="165"/>
      <c r="BJ198" s="166"/>
      <c r="BK198" s="165"/>
      <c r="BL198" s="165"/>
      <c r="BM198" s="163"/>
      <c r="BN198" s="165"/>
      <c r="BO198" s="165"/>
      <c r="BP198" s="165"/>
      <c r="BQ198" s="167"/>
    </row>
    <row r="199" spans="1:270" ht="39.950000000000003" customHeight="1" outlineLevel="1" x14ac:dyDescent="0.3">
      <c r="A199" s="12" t="s">
        <v>279</v>
      </c>
      <c r="B199" s="14" t="s">
        <v>317</v>
      </c>
      <c r="C199" s="9" t="s">
        <v>28</v>
      </c>
      <c r="D199" s="68">
        <v>241000322219</v>
      </c>
      <c r="E199" s="158">
        <f t="shared" si="39"/>
        <v>64.935810000000004</v>
      </c>
      <c r="F199" s="159">
        <f t="shared" si="40"/>
        <v>25.29326</v>
      </c>
      <c r="G199" s="160">
        <f t="shared" si="41"/>
        <v>39.64255</v>
      </c>
      <c r="H199" s="159"/>
      <c r="I199" s="165"/>
      <c r="J199" s="161"/>
      <c r="K199" s="161"/>
      <c r="L199" s="166">
        <v>25.29326</v>
      </c>
      <c r="M199" s="165">
        <v>39.64255</v>
      </c>
      <c r="N199" s="165"/>
      <c r="O199" s="165"/>
      <c r="P199" s="160"/>
      <c r="Q199" s="166"/>
      <c r="R199" s="165"/>
      <c r="S199" s="165"/>
      <c r="T199" s="159"/>
      <c r="U199" s="160"/>
      <c r="V199" s="165"/>
      <c r="W199" s="165"/>
      <c r="X199" s="161"/>
      <c r="Y199" s="166"/>
      <c r="Z199" s="160"/>
      <c r="AA199" s="160"/>
      <c r="AB199" s="165"/>
      <c r="AC199" s="165"/>
      <c r="AD199" s="165"/>
      <c r="AE199" s="165"/>
      <c r="AF199" s="160"/>
      <c r="AG199" s="161"/>
      <c r="AH199" s="161"/>
      <c r="AI199" s="161"/>
      <c r="AJ199" s="161"/>
      <c r="AK199" s="162"/>
      <c r="AL199" s="165"/>
      <c r="AM199" s="166"/>
      <c r="AN199" s="165"/>
      <c r="AO199" s="161"/>
      <c r="AP199" s="162"/>
      <c r="AQ199" s="161"/>
      <c r="AR199" s="162"/>
      <c r="AS199" s="161"/>
      <c r="AT199" s="165"/>
      <c r="AU199" s="166"/>
      <c r="AV199" s="165"/>
      <c r="AW199" s="162"/>
      <c r="AX199" s="161"/>
      <c r="AY199" s="161"/>
      <c r="AZ199" s="161"/>
      <c r="BA199" s="161"/>
      <c r="BB199" s="166"/>
      <c r="BC199" s="165"/>
      <c r="BD199" s="165"/>
      <c r="BE199" s="165"/>
      <c r="BF199" s="165"/>
      <c r="BG199" s="165"/>
      <c r="BH199" s="165"/>
      <c r="BI199" s="165"/>
      <c r="BJ199" s="166"/>
      <c r="BK199" s="165"/>
      <c r="BL199" s="165"/>
      <c r="BM199" s="163"/>
      <c r="BN199" s="165"/>
      <c r="BO199" s="165"/>
      <c r="BP199" s="165"/>
      <c r="BQ199" s="167"/>
    </row>
    <row r="200" spans="1:270" ht="39.950000000000003" customHeight="1" outlineLevel="1" x14ac:dyDescent="0.3">
      <c r="A200" s="15" t="s">
        <v>279</v>
      </c>
      <c r="B200" s="14" t="s">
        <v>318</v>
      </c>
      <c r="C200" s="9" t="s">
        <v>28</v>
      </c>
      <c r="D200" s="68">
        <v>241001070437</v>
      </c>
      <c r="E200" s="158">
        <f t="shared" si="39"/>
        <v>44.67259</v>
      </c>
      <c r="F200" s="159">
        <f t="shared" si="40"/>
        <v>17.400500000000001</v>
      </c>
      <c r="G200" s="160">
        <f t="shared" si="41"/>
        <v>27.272089999999999</v>
      </c>
      <c r="H200" s="162"/>
      <c r="I200" s="165"/>
      <c r="J200" s="161"/>
      <c r="K200" s="161"/>
      <c r="L200" s="166">
        <v>17.400500000000001</v>
      </c>
      <c r="M200" s="165">
        <v>27.272089999999999</v>
      </c>
      <c r="N200" s="165"/>
      <c r="O200" s="165"/>
      <c r="P200" s="160"/>
      <c r="Q200" s="166"/>
      <c r="R200" s="165"/>
      <c r="S200" s="165"/>
      <c r="T200" s="159"/>
      <c r="U200" s="160"/>
      <c r="V200" s="165"/>
      <c r="W200" s="165"/>
      <c r="X200" s="161"/>
      <c r="Y200" s="166"/>
      <c r="Z200" s="160"/>
      <c r="AA200" s="160"/>
      <c r="AB200" s="165"/>
      <c r="AC200" s="165"/>
      <c r="AD200" s="165"/>
      <c r="AE200" s="165"/>
      <c r="AF200" s="160"/>
      <c r="AG200" s="161"/>
      <c r="AH200" s="161"/>
      <c r="AI200" s="161"/>
      <c r="AJ200" s="161"/>
      <c r="AK200" s="162"/>
      <c r="AL200" s="165"/>
      <c r="AM200" s="166"/>
      <c r="AN200" s="165"/>
      <c r="AO200" s="161"/>
      <c r="AP200" s="162"/>
      <c r="AQ200" s="161"/>
      <c r="AR200" s="162"/>
      <c r="AS200" s="161"/>
      <c r="AT200" s="165"/>
      <c r="AU200" s="166"/>
      <c r="AV200" s="165"/>
      <c r="AW200" s="162"/>
      <c r="AX200" s="161"/>
      <c r="AY200" s="161"/>
      <c r="AZ200" s="161"/>
      <c r="BA200" s="161"/>
      <c r="BB200" s="166"/>
      <c r="BC200" s="165"/>
      <c r="BD200" s="165"/>
      <c r="BE200" s="165"/>
      <c r="BF200" s="165"/>
      <c r="BG200" s="165"/>
      <c r="BH200" s="165"/>
      <c r="BI200" s="165"/>
      <c r="BJ200" s="166"/>
      <c r="BK200" s="165"/>
      <c r="BL200" s="165"/>
      <c r="BM200" s="163"/>
      <c r="BN200" s="165"/>
      <c r="BO200" s="165"/>
      <c r="BP200" s="165"/>
      <c r="BQ200" s="167"/>
    </row>
    <row r="201" spans="1:270" ht="39.950000000000003" customHeight="1" outlineLevel="1" x14ac:dyDescent="0.3">
      <c r="A201" s="15" t="s">
        <v>279</v>
      </c>
      <c r="B201" s="14" t="s">
        <v>309</v>
      </c>
      <c r="C201" s="9" t="s">
        <v>30</v>
      </c>
      <c r="D201" s="66" t="s">
        <v>310</v>
      </c>
      <c r="E201" s="158">
        <f t="shared" si="39"/>
        <v>187.70179000000002</v>
      </c>
      <c r="F201" s="159">
        <f t="shared" si="40"/>
        <v>73.112049999999996</v>
      </c>
      <c r="G201" s="160">
        <f t="shared" si="41"/>
        <v>114.58974000000001</v>
      </c>
      <c r="H201" s="166"/>
      <c r="I201" s="165"/>
      <c r="J201" s="160"/>
      <c r="K201" s="160"/>
      <c r="L201" s="166">
        <v>73.112049999999996</v>
      </c>
      <c r="M201" s="165">
        <v>114.58974000000001</v>
      </c>
      <c r="N201" s="165"/>
      <c r="O201" s="165"/>
      <c r="P201" s="160"/>
      <c r="Q201" s="166"/>
      <c r="R201" s="165"/>
      <c r="S201" s="165"/>
      <c r="T201" s="159"/>
      <c r="U201" s="160"/>
      <c r="V201" s="165"/>
      <c r="W201" s="165"/>
      <c r="X201" s="160"/>
      <c r="Y201" s="166"/>
      <c r="Z201" s="160"/>
      <c r="AA201" s="160"/>
      <c r="AB201" s="165"/>
      <c r="AC201" s="165"/>
      <c r="AD201" s="165"/>
      <c r="AE201" s="165"/>
      <c r="AF201" s="160"/>
      <c r="AG201" s="160"/>
      <c r="AH201" s="160"/>
      <c r="AI201" s="160"/>
      <c r="AJ201" s="161"/>
      <c r="AK201" s="162"/>
      <c r="AL201" s="165"/>
      <c r="AM201" s="166"/>
      <c r="AN201" s="165"/>
      <c r="AO201" s="160"/>
      <c r="AP201" s="162"/>
      <c r="AQ201" s="161"/>
      <c r="AR201" s="162"/>
      <c r="AS201" s="161"/>
      <c r="AT201" s="165"/>
      <c r="AU201" s="166"/>
      <c r="AV201" s="165"/>
      <c r="AW201" s="166"/>
      <c r="AX201" s="165"/>
      <c r="AY201" s="165"/>
      <c r="AZ201" s="165"/>
      <c r="BA201" s="165"/>
      <c r="BB201" s="166"/>
      <c r="BC201" s="165"/>
      <c r="BD201" s="165"/>
      <c r="BE201" s="165"/>
      <c r="BF201" s="165"/>
      <c r="BG201" s="165"/>
      <c r="BH201" s="165"/>
      <c r="BI201" s="165"/>
      <c r="BJ201" s="166"/>
      <c r="BK201" s="165"/>
      <c r="BL201" s="165"/>
      <c r="BM201" s="163"/>
      <c r="BN201" s="165"/>
      <c r="BO201" s="165"/>
      <c r="BP201" s="165"/>
      <c r="BQ201" s="167"/>
    </row>
    <row r="202" spans="1:270" ht="39.950000000000003" customHeight="1" outlineLevel="1" x14ac:dyDescent="0.3">
      <c r="A202" s="12" t="s">
        <v>279</v>
      </c>
      <c r="B202" s="14" t="s">
        <v>1358</v>
      </c>
      <c r="C202" s="9" t="s">
        <v>30</v>
      </c>
      <c r="D202" s="66" t="s">
        <v>1186</v>
      </c>
      <c r="E202" s="158">
        <f t="shared" si="39"/>
        <v>44.316969999999998</v>
      </c>
      <c r="F202" s="159">
        <f t="shared" si="40"/>
        <v>17.261980000000001</v>
      </c>
      <c r="G202" s="160">
        <f t="shared" si="41"/>
        <v>27.05499</v>
      </c>
      <c r="H202" s="162"/>
      <c r="I202" s="161"/>
      <c r="J202" s="161"/>
      <c r="K202" s="161"/>
      <c r="L202" s="166">
        <v>17.261980000000001</v>
      </c>
      <c r="M202" s="165">
        <v>27.05499</v>
      </c>
      <c r="N202" s="165"/>
      <c r="O202" s="165"/>
      <c r="P202" s="160"/>
      <c r="Q202" s="166"/>
      <c r="R202" s="165"/>
      <c r="S202" s="165"/>
      <c r="T202" s="159"/>
      <c r="U202" s="160"/>
      <c r="V202" s="165"/>
      <c r="W202" s="165"/>
      <c r="X202" s="161"/>
      <c r="Y202" s="166"/>
      <c r="Z202" s="160"/>
      <c r="AA202" s="160"/>
      <c r="AB202" s="165"/>
      <c r="AC202" s="165"/>
      <c r="AD202" s="165"/>
      <c r="AE202" s="165"/>
      <c r="AF202" s="160"/>
      <c r="AG202" s="161"/>
      <c r="AH202" s="161"/>
      <c r="AI202" s="161"/>
      <c r="AJ202" s="161"/>
      <c r="AK202" s="162"/>
      <c r="AL202" s="165"/>
      <c r="AM202" s="166"/>
      <c r="AN202" s="165"/>
      <c r="AO202" s="161"/>
      <c r="AP202" s="162"/>
      <c r="AQ202" s="161"/>
      <c r="AR202" s="162"/>
      <c r="AS202" s="161"/>
      <c r="AT202" s="165"/>
      <c r="AU202" s="166"/>
      <c r="AV202" s="165"/>
      <c r="AW202" s="162"/>
      <c r="AX202" s="161"/>
      <c r="AY202" s="161"/>
      <c r="AZ202" s="161"/>
      <c r="BA202" s="161"/>
      <c r="BB202" s="166"/>
      <c r="BC202" s="165"/>
      <c r="BD202" s="165"/>
      <c r="BE202" s="165"/>
      <c r="BF202" s="165"/>
      <c r="BG202" s="165"/>
      <c r="BH202" s="165"/>
      <c r="BI202" s="165"/>
      <c r="BJ202" s="166"/>
      <c r="BK202" s="165"/>
      <c r="BL202" s="165"/>
      <c r="BM202" s="163"/>
      <c r="BN202" s="165"/>
      <c r="BO202" s="165"/>
      <c r="BP202" s="165"/>
      <c r="BQ202" s="167"/>
    </row>
    <row r="203" spans="1:270" ht="39.950000000000003" customHeight="1" outlineLevel="1" x14ac:dyDescent="0.3">
      <c r="A203" s="12" t="s">
        <v>279</v>
      </c>
      <c r="B203" s="14" t="s">
        <v>311</v>
      </c>
      <c r="C203" s="9" t="s">
        <v>30</v>
      </c>
      <c r="D203" s="66" t="s">
        <v>1181</v>
      </c>
      <c r="E203" s="158">
        <f t="shared" si="39"/>
        <v>254.51681000000002</v>
      </c>
      <c r="F203" s="159">
        <f t="shared" si="40"/>
        <v>48.711880000000001</v>
      </c>
      <c r="G203" s="160">
        <f t="shared" si="41"/>
        <v>205.80493000000001</v>
      </c>
      <c r="H203" s="166"/>
      <c r="I203" s="165"/>
      <c r="J203" s="160"/>
      <c r="K203" s="160"/>
      <c r="L203" s="166">
        <v>48.711880000000001</v>
      </c>
      <c r="M203" s="165">
        <v>76.34693</v>
      </c>
      <c r="N203" s="165"/>
      <c r="O203" s="165"/>
      <c r="P203" s="160"/>
      <c r="Q203" s="166"/>
      <c r="R203" s="165"/>
      <c r="S203" s="165"/>
      <c r="T203" s="159"/>
      <c r="U203" s="160"/>
      <c r="V203" s="165"/>
      <c r="W203" s="165"/>
      <c r="X203" s="160"/>
      <c r="Y203" s="166"/>
      <c r="Z203" s="160"/>
      <c r="AA203" s="160"/>
      <c r="AB203" s="165"/>
      <c r="AC203" s="165"/>
      <c r="AD203" s="165"/>
      <c r="AE203" s="165"/>
      <c r="AF203" s="160"/>
      <c r="AG203" s="160"/>
      <c r="AH203" s="160"/>
      <c r="AI203" s="160"/>
      <c r="AJ203" s="161"/>
      <c r="AK203" s="162"/>
      <c r="AL203" s="165"/>
      <c r="AM203" s="166"/>
      <c r="AN203" s="165"/>
      <c r="AO203" s="160"/>
      <c r="AP203" s="162"/>
      <c r="AQ203" s="161"/>
      <c r="AR203" s="162"/>
      <c r="AS203" s="161"/>
      <c r="AT203" s="165"/>
      <c r="AU203" s="166"/>
      <c r="AV203" s="165"/>
      <c r="AW203" s="166"/>
      <c r="AX203" s="165"/>
      <c r="AY203" s="165"/>
      <c r="AZ203" s="165"/>
      <c r="BA203" s="165"/>
      <c r="BB203" s="166"/>
      <c r="BC203" s="165"/>
      <c r="BD203" s="165"/>
      <c r="BE203" s="165"/>
      <c r="BF203" s="165"/>
      <c r="BG203" s="165"/>
      <c r="BH203" s="165"/>
      <c r="BI203" s="165"/>
      <c r="BJ203" s="166"/>
      <c r="BK203" s="165"/>
      <c r="BL203" s="165"/>
      <c r="BM203" s="163"/>
      <c r="BN203" s="165"/>
      <c r="BO203" s="165">
        <v>129.458</v>
      </c>
      <c r="BP203" s="165"/>
      <c r="BQ203" s="167"/>
    </row>
    <row r="204" spans="1:270" ht="39.950000000000003" customHeight="1" outlineLevel="1" x14ac:dyDescent="0.3">
      <c r="A204" s="15" t="s">
        <v>279</v>
      </c>
      <c r="B204" s="14" t="s">
        <v>304</v>
      </c>
      <c r="C204" s="9" t="s">
        <v>30</v>
      </c>
      <c r="D204" s="66" t="s">
        <v>305</v>
      </c>
      <c r="E204" s="158">
        <f t="shared" si="39"/>
        <v>1125.6071999999999</v>
      </c>
      <c r="F204" s="159">
        <f t="shared" si="40"/>
        <v>584.46925999999996</v>
      </c>
      <c r="G204" s="160">
        <f t="shared" si="41"/>
        <v>541.13793999999996</v>
      </c>
      <c r="H204" s="166">
        <v>477.67327</v>
      </c>
      <c r="I204" s="165">
        <v>159.22442000000001</v>
      </c>
      <c r="J204" s="160"/>
      <c r="K204" s="160"/>
      <c r="L204" s="166">
        <v>106.79599</v>
      </c>
      <c r="M204" s="165">
        <v>167.38311999999999</v>
      </c>
      <c r="N204" s="165"/>
      <c r="O204" s="165"/>
      <c r="P204" s="160"/>
      <c r="Q204" s="166"/>
      <c r="R204" s="165"/>
      <c r="S204" s="165"/>
      <c r="T204" s="159"/>
      <c r="U204" s="160"/>
      <c r="V204" s="165"/>
      <c r="W204" s="165"/>
      <c r="X204" s="160"/>
      <c r="Y204" s="166"/>
      <c r="Z204" s="160"/>
      <c r="AA204" s="160"/>
      <c r="AB204" s="165"/>
      <c r="AC204" s="165"/>
      <c r="AD204" s="165"/>
      <c r="AE204" s="165"/>
      <c r="AF204" s="160"/>
      <c r="AG204" s="160"/>
      <c r="AH204" s="160"/>
      <c r="AI204" s="160"/>
      <c r="AJ204" s="161"/>
      <c r="AK204" s="162"/>
      <c r="AL204" s="165"/>
      <c r="AM204" s="166"/>
      <c r="AN204" s="165"/>
      <c r="AO204" s="160"/>
      <c r="AP204" s="162"/>
      <c r="AQ204" s="161"/>
      <c r="AR204" s="162"/>
      <c r="AS204" s="161"/>
      <c r="AT204" s="165"/>
      <c r="AU204" s="166"/>
      <c r="AV204" s="165"/>
      <c r="AW204" s="166"/>
      <c r="AX204" s="165"/>
      <c r="AY204" s="165"/>
      <c r="AZ204" s="165"/>
      <c r="BA204" s="165"/>
      <c r="BB204" s="166"/>
      <c r="BC204" s="165"/>
      <c r="BD204" s="165"/>
      <c r="BE204" s="165"/>
      <c r="BF204" s="165"/>
      <c r="BG204" s="165"/>
      <c r="BH204" s="165"/>
      <c r="BI204" s="165"/>
      <c r="BJ204" s="166"/>
      <c r="BK204" s="165"/>
      <c r="BL204" s="165"/>
      <c r="BM204" s="163"/>
      <c r="BN204" s="165"/>
      <c r="BO204" s="165">
        <v>214.53039999999999</v>
      </c>
      <c r="BP204" s="165"/>
      <c r="BQ204" s="167"/>
    </row>
    <row r="205" spans="1:270" ht="39.950000000000003" customHeight="1" outlineLevel="1" x14ac:dyDescent="0.3">
      <c r="A205" s="15" t="s">
        <v>279</v>
      </c>
      <c r="B205" s="14" t="s">
        <v>299</v>
      </c>
      <c r="C205" s="9" t="s">
        <v>30</v>
      </c>
      <c r="D205" s="66">
        <v>241001685688</v>
      </c>
      <c r="E205" s="158">
        <f t="shared" si="39"/>
        <v>20.502279999999999</v>
      </c>
      <c r="F205" s="159">
        <f t="shared" si="40"/>
        <v>7.9858799999999999</v>
      </c>
      <c r="G205" s="160">
        <f t="shared" si="41"/>
        <v>12.516400000000001</v>
      </c>
      <c r="H205" s="166"/>
      <c r="I205" s="165"/>
      <c r="J205" s="160"/>
      <c r="K205" s="160"/>
      <c r="L205" s="166">
        <v>7.9858799999999999</v>
      </c>
      <c r="M205" s="165">
        <v>12.516400000000001</v>
      </c>
      <c r="N205" s="165"/>
      <c r="O205" s="165"/>
      <c r="P205" s="160"/>
      <c r="Q205" s="166"/>
      <c r="R205" s="165"/>
      <c r="S205" s="165"/>
      <c r="T205" s="159"/>
      <c r="U205" s="160"/>
      <c r="V205" s="165"/>
      <c r="W205" s="165"/>
      <c r="X205" s="160"/>
      <c r="Y205" s="166"/>
      <c r="Z205" s="160"/>
      <c r="AA205" s="160"/>
      <c r="AB205" s="165"/>
      <c r="AC205" s="165"/>
      <c r="AD205" s="165"/>
      <c r="AE205" s="165"/>
      <c r="AF205" s="160"/>
      <c r="AG205" s="160"/>
      <c r="AH205" s="160"/>
      <c r="AI205" s="160"/>
      <c r="AJ205" s="161"/>
      <c r="AK205" s="162"/>
      <c r="AL205" s="165"/>
      <c r="AM205" s="166"/>
      <c r="AN205" s="165"/>
      <c r="AO205" s="160"/>
      <c r="AP205" s="162"/>
      <c r="AQ205" s="161"/>
      <c r="AR205" s="162"/>
      <c r="AS205" s="161"/>
      <c r="AT205" s="165"/>
      <c r="AU205" s="166"/>
      <c r="AV205" s="165"/>
      <c r="AW205" s="166"/>
      <c r="AX205" s="165"/>
      <c r="AY205" s="165"/>
      <c r="AZ205" s="165"/>
      <c r="BA205" s="165"/>
      <c r="BB205" s="166"/>
      <c r="BC205" s="165"/>
      <c r="BD205" s="165"/>
      <c r="BE205" s="165"/>
      <c r="BF205" s="165"/>
      <c r="BG205" s="165"/>
      <c r="BH205" s="165"/>
      <c r="BI205" s="165"/>
      <c r="BJ205" s="166"/>
      <c r="BK205" s="165"/>
      <c r="BL205" s="165"/>
      <c r="BM205" s="163"/>
      <c r="BN205" s="165"/>
      <c r="BO205" s="165"/>
      <c r="BP205" s="165"/>
      <c r="BQ205" s="167"/>
    </row>
    <row r="206" spans="1:270" ht="39.950000000000003" customHeight="1" outlineLevel="1" x14ac:dyDescent="0.3">
      <c r="A206" s="15" t="s">
        <v>279</v>
      </c>
      <c r="B206" s="14" t="s">
        <v>1382</v>
      </c>
      <c r="C206" s="9" t="s">
        <v>30</v>
      </c>
      <c r="D206" s="66" t="s">
        <v>316</v>
      </c>
      <c r="E206" s="158">
        <f t="shared" si="39"/>
        <v>4055.4457799999996</v>
      </c>
      <c r="F206" s="159">
        <f t="shared" si="40"/>
        <v>117.0894</v>
      </c>
      <c r="G206" s="160">
        <f t="shared" si="41"/>
        <v>3938.3563799999997</v>
      </c>
      <c r="H206" s="166"/>
      <c r="I206" s="165"/>
      <c r="J206" s="160"/>
      <c r="K206" s="160"/>
      <c r="L206" s="166">
        <v>117.0894</v>
      </c>
      <c r="M206" s="165">
        <v>183.51616999999999</v>
      </c>
      <c r="N206" s="165"/>
      <c r="O206" s="165"/>
      <c r="P206" s="160"/>
      <c r="Q206" s="166"/>
      <c r="R206" s="165"/>
      <c r="S206" s="165"/>
      <c r="T206" s="159"/>
      <c r="U206" s="160"/>
      <c r="V206" s="165"/>
      <c r="W206" s="165"/>
      <c r="X206" s="160"/>
      <c r="Y206" s="166"/>
      <c r="Z206" s="160"/>
      <c r="AA206" s="160"/>
      <c r="AB206" s="165"/>
      <c r="AC206" s="165"/>
      <c r="AD206" s="165"/>
      <c r="AE206" s="165"/>
      <c r="AF206" s="160"/>
      <c r="AG206" s="160"/>
      <c r="AH206" s="160"/>
      <c r="AI206" s="160"/>
      <c r="AJ206" s="161">
        <v>3000</v>
      </c>
      <c r="AK206" s="162"/>
      <c r="AL206" s="165"/>
      <c r="AM206" s="166"/>
      <c r="AN206" s="165"/>
      <c r="AO206" s="160"/>
      <c r="AP206" s="162"/>
      <c r="AQ206" s="161"/>
      <c r="AR206" s="162"/>
      <c r="AS206" s="161"/>
      <c r="AT206" s="165"/>
      <c r="AU206" s="166"/>
      <c r="AV206" s="165"/>
      <c r="AW206" s="166"/>
      <c r="AX206" s="165"/>
      <c r="AY206" s="165"/>
      <c r="AZ206" s="165"/>
      <c r="BA206" s="165"/>
      <c r="BB206" s="166"/>
      <c r="BC206" s="165"/>
      <c r="BD206" s="165"/>
      <c r="BE206" s="165">
        <v>672.34020999999996</v>
      </c>
      <c r="BF206" s="165"/>
      <c r="BG206" s="165">
        <v>82.5</v>
      </c>
      <c r="BH206" s="165"/>
      <c r="BI206" s="165"/>
      <c r="BJ206" s="166"/>
      <c r="BK206" s="165"/>
      <c r="BL206" s="165"/>
      <c r="BM206" s="163"/>
      <c r="BN206" s="165"/>
      <c r="BO206" s="165"/>
      <c r="BP206" s="165"/>
      <c r="BQ206" s="167"/>
    </row>
    <row r="207" spans="1:270" ht="39.950000000000003" customHeight="1" outlineLevel="1" x14ac:dyDescent="0.3">
      <c r="A207" s="15" t="s">
        <v>279</v>
      </c>
      <c r="B207" s="14" t="s">
        <v>1279</v>
      </c>
      <c r="C207" s="9" t="s">
        <v>30</v>
      </c>
      <c r="D207" s="66" t="s">
        <v>1183</v>
      </c>
      <c r="E207" s="158">
        <f t="shared" si="39"/>
        <v>1058.73606</v>
      </c>
      <c r="F207" s="159">
        <f t="shared" si="40"/>
        <v>757.71985999999993</v>
      </c>
      <c r="G207" s="160">
        <f t="shared" si="41"/>
        <v>301.01620000000003</v>
      </c>
      <c r="H207" s="166">
        <v>718.46249999999998</v>
      </c>
      <c r="I207" s="165">
        <v>239.48750000000001</v>
      </c>
      <c r="J207" s="160"/>
      <c r="K207" s="160"/>
      <c r="L207" s="166">
        <v>39.257359999999998</v>
      </c>
      <c r="M207" s="165">
        <v>61.528700000000001</v>
      </c>
      <c r="N207" s="165"/>
      <c r="O207" s="165"/>
      <c r="P207" s="160"/>
      <c r="Q207" s="166"/>
      <c r="R207" s="165"/>
      <c r="S207" s="165"/>
      <c r="T207" s="159"/>
      <c r="U207" s="160"/>
      <c r="V207" s="165"/>
      <c r="W207" s="165"/>
      <c r="X207" s="160"/>
      <c r="Y207" s="166"/>
      <c r="Z207" s="160"/>
      <c r="AA207" s="160"/>
      <c r="AB207" s="165"/>
      <c r="AC207" s="165"/>
      <c r="AD207" s="165"/>
      <c r="AE207" s="165"/>
      <c r="AF207" s="160"/>
      <c r="AG207" s="160"/>
      <c r="AH207" s="160"/>
      <c r="AI207" s="160"/>
      <c r="AJ207" s="161"/>
      <c r="AK207" s="162"/>
      <c r="AL207" s="165"/>
      <c r="AM207" s="166"/>
      <c r="AN207" s="165"/>
      <c r="AO207" s="160"/>
      <c r="AP207" s="162"/>
      <c r="AQ207" s="161"/>
      <c r="AR207" s="162"/>
      <c r="AS207" s="161"/>
      <c r="AT207" s="165"/>
      <c r="AU207" s="166"/>
      <c r="AV207" s="165"/>
      <c r="AW207" s="166"/>
      <c r="AX207" s="165"/>
      <c r="AY207" s="165"/>
      <c r="AZ207" s="165"/>
      <c r="BA207" s="165"/>
      <c r="BB207" s="166"/>
      <c r="BC207" s="165"/>
      <c r="BD207" s="165"/>
      <c r="BE207" s="165"/>
      <c r="BF207" s="165"/>
      <c r="BG207" s="165"/>
      <c r="BH207" s="165"/>
      <c r="BI207" s="165"/>
      <c r="BJ207" s="166"/>
      <c r="BK207" s="165"/>
      <c r="BL207" s="165"/>
      <c r="BM207" s="163"/>
      <c r="BN207" s="165"/>
      <c r="BO207" s="165"/>
      <c r="BP207" s="165"/>
      <c r="BQ207" s="167"/>
    </row>
    <row r="208" spans="1:270" ht="39.950000000000003" customHeight="1" outlineLevel="1" x14ac:dyDescent="0.3">
      <c r="A208" s="15" t="s">
        <v>279</v>
      </c>
      <c r="B208" s="14" t="s">
        <v>306</v>
      </c>
      <c r="C208" s="9" t="s">
        <v>30</v>
      </c>
      <c r="D208" s="68">
        <v>241001280113</v>
      </c>
      <c r="E208" s="158">
        <f t="shared" si="39"/>
        <v>223.52875</v>
      </c>
      <c r="F208" s="159">
        <f t="shared" si="40"/>
        <v>63.621780000000001</v>
      </c>
      <c r="G208" s="160">
        <f t="shared" si="41"/>
        <v>159.90697</v>
      </c>
      <c r="H208" s="166"/>
      <c r="I208" s="165"/>
      <c r="J208" s="160"/>
      <c r="K208" s="160"/>
      <c r="L208" s="166">
        <v>63.621780000000001</v>
      </c>
      <c r="M208" s="165">
        <v>99.715459999999993</v>
      </c>
      <c r="N208" s="165"/>
      <c r="O208" s="165"/>
      <c r="P208" s="160"/>
      <c r="Q208" s="166"/>
      <c r="R208" s="165"/>
      <c r="S208" s="165"/>
      <c r="T208" s="159"/>
      <c r="U208" s="160"/>
      <c r="V208" s="165"/>
      <c r="W208" s="165"/>
      <c r="X208" s="160"/>
      <c r="Y208" s="166"/>
      <c r="Z208" s="160"/>
      <c r="AA208" s="160"/>
      <c r="AB208" s="165"/>
      <c r="AC208" s="165"/>
      <c r="AD208" s="165"/>
      <c r="AE208" s="165"/>
      <c r="AF208" s="160"/>
      <c r="AG208" s="160"/>
      <c r="AH208" s="160"/>
      <c r="AI208" s="160"/>
      <c r="AJ208" s="161"/>
      <c r="AK208" s="162"/>
      <c r="AL208" s="165"/>
      <c r="AM208" s="166"/>
      <c r="AN208" s="165"/>
      <c r="AO208" s="160"/>
      <c r="AP208" s="162"/>
      <c r="AQ208" s="161"/>
      <c r="AR208" s="162"/>
      <c r="AS208" s="161"/>
      <c r="AT208" s="165"/>
      <c r="AU208" s="166"/>
      <c r="AV208" s="165"/>
      <c r="AW208" s="166"/>
      <c r="AX208" s="165"/>
      <c r="AY208" s="165"/>
      <c r="AZ208" s="165"/>
      <c r="BA208" s="165"/>
      <c r="BB208" s="166"/>
      <c r="BC208" s="165"/>
      <c r="BD208" s="165"/>
      <c r="BE208" s="165">
        <v>60.191510000000001</v>
      </c>
      <c r="BF208" s="165"/>
      <c r="BG208" s="165"/>
      <c r="BH208" s="165"/>
      <c r="BI208" s="165"/>
      <c r="BJ208" s="166"/>
      <c r="BK208" s="165"/>
      <c r="BL208" s="165"/>
      <c r="BM208" s="163"/>
      <c r="BN208" s="165"/>
      <c r="BO208" s="165"/>
      <c r="BP208" s="165"/>
      <c r="BQ208" s="167"/>
    </row>
    <row r="209" spans="1:69" ht="39.950000000000003" customHeight="1" outlineLevel="1" x14ac:dyDescent="0.3">
      <c r="A209" s="12" t="s">
        <v>279</v>
      </c>
      <c r="B209" s="14" t="s">
        <v>307</v>
      </c>
      <c r="C209" s="9" t="s">
        <v>30</v>
      </c>
      <c r="D209" s="68">
        <v>241000759168</v>
      </c>
      <c r="E209" s="158">
        <f t="shared" si="39"/>
        <v>132.04999000000001</v>
      </c>
      <c r="F209" s="159">
        <f t="shared" si="40"/>
        <v>51.435020000000002</v>
      </c>
      <c r="G209" s="160">
        <f t="shared" si="41"/>
        <v>80.61497</v>
      </c>
      <c r="H209" s="166"/>
      <c r="I209" s="165"/>
      <c r="J209" s="160"/>
      <c r="K209" s="160"/>
      <c r="L209" s="166">
        <v>51.435020000000002</v>
      </c>
      <c r="M209" s="165">
        <v>80.61497</v>
      </c>
      <c r="N209" s="165"/>
      <c r="O209" s="165"/>
      <c r="P209" s="160"/>
      <c r="Q209" s="166"/>
      <c r="R209" s="165"/>
      <c r="S209" s="165"/>
      <c r="T209" s="159"/>
      <c r="U209" s="160"/>
      <c r="V209" s="165"/>
      <c r="W209" s="165"/>
      <c r="X209" s="160"/>
      <c r="Y209" s="166"/>
      <c r="Z209" s="160"/>
      <c r="AA209" s="160"/>
      <c r="AB209" s="165"/>
      <c r="AC209" s="165"/>
      <c r="AD209" s="165"/>
      <c r="AE209" s="165"/>
      <c r="AF209" s="160"/>
      <c r="AG209" s="160"/>
      <c r="AH209" s="160"/>
      <c r="AI209" s="160"/>
      <c r="AJ209" s="161"/>
      <c r="AK209" s="162"/>
      <c r="AL209" s="165"/>
      <c r="AM209" s="166"/>
      <c r="AN209" s="165"/>
      <c r="AO209" s="160"/>
      <c r="AP209" s="162"/>
      <c r="AQ209" s="161"/>
      <c r="AR209" s="162"/>
      <c r="AS209" s="161"/>
      <c r="AT209" s="165"/>
      <c r="AU209" s="166"/>
      <c r="AV209" s="165"/>
      <c r="AW209" s="166"/>
      <c r="AX209" s="165"/>
      <c r="AY209" s="165"/>
      <c r="AZ209" s="165"/>
      <c r="BA209" s="165"/>
      <c r="BB209" s="166"/>
      <c r="BC209" s="165"/>
      <c r="BD209" s="165"/>
      <c r="BE209" s="165"/>
      <c r="BF209" s="165"/>
      <c r="BG209" s="165"/>
      <c r="BH209" s="165"/>
      <c r="BI209" s="165"/>
      <c r="BJ209" s="166"/>
      <c r="BK209" s="165"/>
      <c r="BL209" s="165"/>
      <c r="BM209" s="163"/>
      <c r="BN209" s="165"/>
      <c r="BO209" s="165"/>
      <c r="BP209" s="165"/>
      <c r="BQ209" s="167"/>
    </row>
    <row r="210" spans="1:69" ht="39.950000000000003" customHeight="1" outlineLevel="1" x14ac:dyDescent="0.3">
      <c r="A210" s="15" t="s">
        <v>279</v>
      </c>
      <c r="B210" s="14" t="s">
        <v>300</v>
      </c>
      <c r="C210" s="9" t="s">
        <v>30</v>
      </c>
      <c r="D210" s="68">
        <v>241001725570</v>
      </c>
      <c r="E210" s="158">
        <f t="shared" si="39"/>
        <v>88.988920000000007</v>
      </c>
      <c r="F210" s="159">
        <f t="shared" si="40"/>
        <v>34.662230000000001</v>
      </c>
      <c r="G210" s="160">
        <f t="shared" si="41"/>
        <v>54.326689999999999</v>
      </c>
      <c r="H210" s="166"/>
      <c r="I210" s="165"/>
      <c r="J210" s="160"/>
      <c r="K210" s="160"/>
      <c r="L210" s="166">
        <v>34.662230000000001</v>
      </c>
      <c r="M210" s="165">
        <v>54.326689999999999</v>
      </c>
      <c r="N210" s="165"/>
      <c r="O210" s="165"/>
      <c r="P210" s="160"/>
      <c r="Q210" s="166"/>
      <c r="R210" s="165"/>
      <c r="S210" s="165"/>
      <c r="T210" s="159"/>
      <c r="U210" s="160"/>
      <c r="V210" s="165"/>
      <c r="W210" s="165"/>
      <c r="X210" s="160"/>
      <c r="Y210" s="166"/>
      <c r="Z210" s="160"/>
      <c r="AA210" s="160"/>
      <c r="AB210" s="165"/>
      <c r="AC210" s="165"/>
      <c r="AD210" s="165"/>
      <c r="AE210" s="165"/>
      <c r="AF210" s="160"/>
      <c r="AG210" s="160"/>
      <c r="AH210" s="160"/>
      <c r="AI210" s="160"/>
      <c r="AJ210" s="161"/>
      <c r="AK210" s="162"/>
      <c r="AL210" s="165"/>
      <c r="AM210" s="166"/>
      <c r="AN210" s="165"/>
      <c r="AO210" s="160"/>
      <c r="AP210" s="162"/>
      <c r="AQ210" s="161"/>
      <c r="AR210" s="162"/>
      <c r="AS210" s="161"/>
      <c r="AT210" s="165"/>
      <c r="AU210" s="166"/>
      <c r="AV210" s="165"/>
      <c r="AW210" s="166"/>
      <c r="AX210" s="165"/>
      <c r="AY210" s="165"/>
      <c r="AZ210" s="165"/>
      <c r="BA210" s="165"/>
      <c r="BB210" s="166"/>
      <c r="BC210" s="165"/>
      <c r="BD210" s="165"/>
      <c r="BE210" s="165"/>
      <c r="BF210" s="165"/>
      <c r="BG210" s="165"/>
      <c r="BH210" s="165"/>
      <c r="BI210" s="165"/>
      <c r="BJ210" s="166"/>
      <c r="BK210" s="165"/>
      <c r="BL210" s="165"/>
      <c r="BM210" s="163"/>
      <c r="BN210" s="165"/>
      <c r="BO210" s="165"/>
      <c r="BP210" s="165"/>
      <c r="BQ210" s="167"/>
    </row>
    <row r="211" spans="1:69" ht="39.950000000000003" customHeight="1" outlineLevel="1" x14ac:dyDescent="0.3">
      <c r="A211" s="15" t="s">
        <v>279</v>
      </c>
      <c r="B211" s="14" t="s">
        <v>312</v>
      </c>
      <c r="C211" s="9" t="s">
        <v>30</v>
      </c>
      <c r="D211" s="70">
        <v>241000061260</v>
      </c>
      <c r="E211" s="158">
        <f t="shared" si="39"/>
        <v>38.272670000000005</v>
      </c>
      <c r="F211" s="159">
        <f t="shared" si="40"/>
        <v>14.90766</v>
      </c>
      <c r="G211" s="160">
        <f t="shared" si="41"/>
        <v>23.365010000000002</v>
      </c>
      <c r="H211" s="166"/>
      <c r="I211" s="165"/>
      <c r="J211" s="160"/>
      <c r="K211" s="160"/>
      <c r="L211" s="166">
        <v>14.90766</v>
      </c>
      <c r="M211" s="165">
        <v>23.365010000000002</v>
      </c>
      <c r="N211" s="165"/>
      <c r="O211" s="165"/>
      <c r="P211" s="160"/>
      <c r="Q211" s="166"/>
      <c r="R211" s="165"/>
      <c r="S211" s="165"/>
      <c r="T211" s="159"/>
      <c r="U211" s="160"/>
      <c r="V211" s="165"/>
      <c r="W211" s="165"/>
      <c r="X211" s="160"/>
      <c r="Y211" s="166"/>
      <c r="Z211" s="160"/>
      <c r="AA211" s="160"/>
      <c r="AB211" s="165"/>
      <c r="AC211" s="165"/>
      <c r="AD211" s="165"/>
      <c r="AE211" s="165"/>
      <c r="AF211" s="160"/>
      <c r="AG211" s="160"/>
      <c r="AH211" s="160"/>
      <c r="AI211" s="160"/>
      <c r="AJ211" s="161"/>
      <c r="AK211" s="162"/>
      <c r="AL211" s="165"/>
      <c r="AM211" s="166"/>
      <c r="AN211" s="165"/>
      <c r="AO211" s="160"/>
      <c r="AP211" s="162"/>
      <c r="AQ211" s="161"/>
      <c r="AR211" s="162"/>
      <c r="AS211" s="161"/>
      <c r="AT211" s="165"/>
      <c r="AU211" s="166"/>
      <c r="AV211" s="165"/>
      <c r="AW211" s="166"/>
      <c r="AX211" s="165"/>
      <c r="AY211" s="165"/>
      <c r="AZ211" s="165"/>
      <c r="BA211" s="165"/>
      <c r="BB211" s="166"/>
      <c r="BC211" s="165"/>
      <c r="BD211" s="165"/>
      <c r="BE211" s="165"/>
      <c r="BF211" s="165"/>
      <c r="BG211" s="165"/>
      <c r="BH211" s="165"/>
      <c r="BI211" s="165"/>
      <c r="BJ211" s="166"/>
      <c r="BK211" s="165"/>
      <c r="BL211" s="165"/>
      <c r="BM211" s="163"/>
      <c r="BN211" s="165"/>
      <c r="BO211" s="165"/>
      <c r="BP211" s="165"/>
      <c r="BQ211" s="167"/>
    </row>
    <row r="212" spans="1:69" ht="39.950000000000003" customHeight="1" outlineLevel="1" x14ac:dyDescent="0.3">
      <c r="A212" s="15" t="s">
        <v>279</v>
      </c>
      <c r="B212" s="14" t="s">
        <v>1446</v>
      </c>
      <c r="C212" s="9" t="s">
        <v>30</v>
      </c>
      <c r="D212" s="68">
        <v>241000396362</v>
      </c>
      <c r="E212" s="158">
        <f t="shared" si="39"/>
        <v>2991.8763200000003</v>
      </c>
      <c r="F212" s="159">
        <f t="shared" si="40"/>
        <v>2232.0557100000001</v>
      </c>
      <c r="G212" s="160">
        <f t="shared" si="41"/>
        <v>759.82060999999999</v>
      </c>
      <c r="H212" s="166"/>
      <c r="I212" s="165"/>
      <c r="J212" s="160"/>
      <c r="K212" s="160"/>
      <c r="L212" s="166">
        <v>12.805709999999999</v>
      </c>
      <c r="M212" s="165">
        <v>20.070609999999999</v>
      </c>
      <c r="N212" s="165"/>
      <c r="O212" s="165"/>
      <c r="P212" s="160"/>
      <c r="Q212" s="166"/>
      <c r="R212" s="165"/>
      <c r="S212" s="165"/>
      <c r="T212" s="159"/>
      <c r="U212" s="160"/>
      <c r="V212" s="165"/>
      <c r="W212" s="165"/>
      <c r="X212" s="160"/>
      <c r="Y212" s="166"/>
      <c r="Z212" s="160"/>
      <c r="AA212" s="160"/>
      <c r="AB212" s="165"/>
      <c r="AC212" s="165"/>
      <c r="AD212" s="165"/>
      <c r="AE212" s="165"/>
      <c r="AF212" s="160"/>
      <c r="AG212" s="176"/>
      <c r="AH212" s="160"/>
      <c r="AI212" s="160"/>
      <c r="AJ212" s="161"/>
      <c r="AK212" s="162">
        <v>2219.25</v>
      </c>
      <c r="AL212" s="165">
        <v>739.75</v>
      </c>
      <c r="AM212" s="166"/>
      <c r="AN212" s="165"/>
      <c r="AO212" s="160"/>
      <c r="AP212" s="162"/>
      <c r="AQ212" s="161"/>
      <c r="AR212" s="162"/>
      <c r="AS212" s="161"/>
      <c r="AT212" s="165"/>
      <c r="AU212" s="166"/>
      <c r="AV212" s="165"/>
      <c r="AW212" s="166"/>
      <c r="AX212" s="165"/>
      <c r="AY212" s="165"/>
      <c r="AZ212" s="165"/>
      <c r="BA212" s="165"/>
      <c r="BB212" s="166"/>
      <c r="BC212" s="165"/>
      <c r="BD212" s="165"/>
      <c r="BE212" s="165"/>
      <c r="BF212" s="165"/>
      <c r="BG212" s="165"/>
      <c r="BH212" s="165"/>
      <c r="BI212" s="165"/>
      <c r="BJ212" s="166"/>
      <c r="BK212" s="165"/>
      <c r="BL212" s="165"/>
      <c r="BM212" s="163"/>
      <c r="BN212" s="165"/>
      <c r="BO212" s="165"/>
      <c r="BP212" s="165"/>
      <c r="BQ212" s="167"/>
    </row>
    <row r="213" spans="1:69" ht="39.950000000000003" customHeight="1" outlineLevel="1" x14ac:dyDescent="0.3">
      <c r="A213" s="15" t="s">
        <v>279</v>
      </c>
      <c r="B213" s="14" t="s">
        <v>1280</v>
      </c>
      <c r="C213" s="9" t="s">
        <v>30</v>
      </c>
      <c r="D213" s="66" t="s">
        <v>1184</v>
      </c>
      <c r="E213" s="158">
        <f t="shared" si="39"/>
        <v>543.23340000000007</v>
      </c>
      <c r="F213" s="159">
        <f t="shared" si="40"/>
        <v>282.40813000000003</v>
      </c>
      <c r="G213" s="160">
        <f t="shared" si="41"/>
        <v>260.82526999999999</v>
      </c>
      <c r="H213" s="166">
        <v>266.85750000000002</v>
      </c>
      <c r="I213" s="165">
        <v>88.952500000000001</v>
      </c>
      <c r="J213" s="160"/>
      <c r="K213" s="160"/>
      <c r="L213" s="166">
        <v>15.55063</v>
      </c>
      <c r="M213" s="165">
        <v>24.372769999999999</v>
      </c>
      <c r="N213" s="165"/>
      <c r="O213" s="165"/>
      <c r="P213" s="160"/>
      <c r="Q213" s="166"/>
      <c r="R213" s="165"/>
      <c r="S213" s="165"/>
      <c r="T213" s="159"/>
      <c r="U213" s="160"/>
      <c r="V213" s="165"/>
      <c r="W213" s="165"/>
      <c r="X213" s="160"/>
      <c r="Y213" s="166"/>
      <c r="Z213" s="160"/>
      <c r="AA213" s="160"/>
      <c r="AB213" s="165"/>
      <c r="AC213" s="165"/>
      <c r="AD213" s="165"/>
      <c r="AE213" s="165"/>
      <c r="AF213" s="160"/>
      <c r="AG213" s="160"/>
      <c r="AH213" s="160"/>
      <c r="AI213" s="160"/>
      <c r="AJ213" s="161"/>
      <c r="AK213" s="162"/>
      <c r="AL213" s="165"/>
      <c r="AM213" s="166"/>
      <c r="AN213" s="165"/>
      <c r="AO213" s="160"/>
      <c r="AP213" s="162"/>
      <c r="AQ213" s="161"/>
      <c r="AR213" s="162"/>
      <c r="AS213" s="161"/>
      <c r="AT213" s="165"/>
      <c r="AU213" s="166"/>
      <c r="AV213" s="165"/>
      <c r="AW213" s="166"/>
      <c r="AX213" s="165"/>
      <c r="AY213" s="165"/>
      <c r="AZ213" s="165"/>
      <c r="BA213" s="165"/>
      <c r="BB213" s="166"/>
      <c r="BC213" s="165"/>
      <c r="BD213" s="165"/>
      <c r="BE213" s="165"/>
      <c r="BF213" s="165"/>
      <c r="BG213" s="165">
        <v>147.5</v>
      </c>
      <c r="BH213" s="165"/>
      <c r="BI213" s="165"/>
      <c r="BJ213" s="166"/>
      <c r="BK213" s="165"/>
      <c r="BL213" s="165"/>
      <c r="BM213" s="163"/>
      <c r="BN213" s="165"/>
      <c r="BO213" s="165"/>
      <c r="BP213" s="165"/>
      <c r="BQ213" s="167"/>
    </row>
    <row r="214" spans="1:69" ht="39.950000000000003" customHeight="1" outlineLevel="1" x14ac:dyDescent="0.3">
      <c r="A214" s="12" t="s">
        <v>279</v>
      </c>
      <c r="B214" s="14" t="s">
        <v>313</v>
      </c>
      <c r="C214" s="9" t="s">
        <v>30</v>
      </c>
      <c r="D214" s="66" t="s">
        <v>1182</v>
      </c>
      <c r="E214" s="158">
        <f t="shared" si="39"/>
        <v>233.43975999999998</v>
      </c>
      <c r="F214" s="159">
        <f t="shared" si="40"/>
        <v>133.35374999999999</v>
      </c>
      <c r="G214" s="160">
        <f t="shared" si="41"/>
        <v>100.08600999999999</v>
      </c>
      <c r="H214" s="166">
        <v>88.268249999999995</v>
      </c>
      <c r="I214" s="165">
        <v>29.422750000000001</v>
      </c>
      <c r="J214" s="160"/>
      <c r="K214" s="160"/>
      <c r="L214" s="166">
        <v>45.085500000000003</v>
      </c>
      <c r="M214" s="165">
        <v>70.663259999999994</v>
      </c>
      <c r="N214" s="165"/>
      <c r="O214" s="165"/>
      <c r="P214" s="160"/>
      <c r="Q214" s="166"/>
      <c r="R214" s="165"/>
      <c r="S214" s="165"/>
      <c r="T214" s="159"/>
      <c r="U214" s="160"/>
      <c r="V214" s="165"/>
      <c r="W214" s="165"/>
      <c r="X214" s="160"/>
      <c r="Y214" s="166"/>
      <c r="Z214" s="160"/>
      <c r="AA214" s="165"/>
      <c r="AB214" s="165"/>
      <c r="AC214" s="165"/>
      <c r="AD214" s="165"/>
      <c r="AE214" s="165"/>
      <c r="AF214" s="160"/>
      <c r="AG214" s="160"/>
      <c r="AH214" s="160"/>
      <c r="AI214" s="160"/>
      <c r="AJ214" s="161"/>
      <c r="AK214" s="162"/>
      <c r="AL214" s="165"/>
      <c r="AM214" s="166"/>
      <c r="AN214" s="165"/>
      <c r="AO214" s="160"/>
      <c r="AP214" s="162"/>
      <c r="AQ214" s="161"/>
      <c r="AR214" s="162"/>
      <c r="AS214" s="161"/>
      <c r="AT214" s="165"/>
      <c r="AU214" s="166"/>
      <c r="AV214" s="165"/>
      <c r="AW214" s="166"/>
      <c r="AX214" s="165"/>
      <c r="AY214" s="165"/>
      <c r="AZ214" s="165"/>
      <c r="BA214" s="165"/>
      <c r="BB214" s="166"/>
      <c r="BC214" s="165"/>
      <c r="BD214" s="165"/>
      <c r="BE214" s="165"/>
      <c r="BF214" s="165"/>
      <c r="BG214" s="165"/>
      <c r="BH214" s="165"/>
      <c r="BI214" s="165"/>
      <c r="BJ214" s="166"/>
      <c r="BK214" s="165"/>
      <c r="BL214" s="165"/>
      <c r="BM214" s="163"/>
      <c r="BN214" s="165"/>
      <c r="BO214" s="165"/>
      <c r="BP214" s="165"/>
      <c r="BQ214" s="167"/>
    </row>
    <row r="215" spans="1:69" ht="39.950000000000003" customHeight="1" outlineLevel="1" x14ac:dyDescent="0.3">
      <c r="A215" s="12" t="s">
        <v>279</v>
      </c>
      <c r="B215" s="14" t="s">
        <v>1281</v>
      </c>
      <c r="C215" s="9" t="s">
        <v>30</v>
      </c>
      <c r="D215" s="66">
        <v>245012708581</v>
      </c>
      <c r="E215" s="158">
        <f t="shared" si="39"/>
        <v>166.69842</v>
      </c>
      <c r="F215" s="159">
        <f t="shared" si="40"/>
        <v>64.930989999999994</v>
      </c>
      <c r="G215" s="160">
        <f t="shared" si="41"/>
        <v>101.76743</v>
      </c>
      <c r="H215" s="166"/>
      <c r="I215" s="165"/>
      <c r="J215" s="160"/>
      <c r="K215" s="160"/>
      <c r="L215" s="166">
        <v>64.930989999999994</v>
      </c>
      <c r="M215" s="165">
        <v>101.76743</v>
      </c>
      <c r="N215" s="165"/>
      <c r="O215" s="165"/>
      <c r="P215" s="160"/>
      <c r="Q215" s="166"/>
      <c r="R215" s="165"/>
      <c r="S215" s="165"/>
      <c r="T215" s="159"/>
      <c r="U215" s="160"/>
      <c r="V215" s="165"/>
      <c r="W215" s="165"/>
      <c r="X215" s="160"/>
      <c r="Y215" s="166"/>
      <c r="Z215" s="160"/>
      <c r="AA215" s="160"/>
      <c r="AB215" s="165"/>
      <c r="AC215" s="165"/>
      <c r="AD215" s="165"/>
      <c r="AE215" s="165"/>
      <c r="AF215" s="160"/>
      <c r="AG215" s="160"/>
      <c r="AH215" s="160"/>
      <c r="AI215" s="160"/>
      <c r="AJ215" s="161"/>
      <c r="AK215" s="162"/>
      <c r="AL215" s="165"/>
      <c r="AM215" s="166"/>
      <c r="AN215" s="165"/>
      <c r="AO215" s="160"/>
      <c r="AP215" s="162"/>
      <c r="AQ215" s="161"/>
      <c r="AR215" s="162"/>
      <c r="AS215" s="161"/>
      <c r="AT215" s="165"/>
      <c r="AU215" s="166"/>
      <c r="AV215" s="165"/>
      <c r="AW215" s="166"/>
      <c r="AX215" s="165"/>
      <c r="AY215" s="165"/>
      <c r="AZ215" s="165"/>
      <c r="BA215" s="165"/>
      <c r="BB215" s="166"/>
      <c r="BC215" s="165"/>
      <c r="BD215" s="165"/>
      <c r="BE215" s="165"/>
      <c r="BF215" s="165"/>
      <c r="BG215" s="165"/>
      <c r="BH215" s="165"/>
      <c r="BI215" s="165"/>
      <c r="BJ215" s="166"/>
      <c r="BK215" s="165"/>
      <c r="BL215" s="165"/>
      <c r="BM215" s="163"/>
      <c r="BN215" s="165"/>
      <c r="BO215" s="165"/>
      <c r="BP215" s="165"/>
      <c r="BQ215" s="167"/>
    </row>
    <row r="216" spans="1:69" ht="39.950000000000003" customHeight="1" outlineLevel="1" x14ac:dyDescent="0.3">
      <c r="A216" s="12" t="s">
        <v>1447</v>
      </c>
      <c r="B216" s="14" t="s">
        <v>1417</v>
      </c>
      <c r="C216" s="9" t="s">
        <v>30</v>
      </c>
      <c r="D216" s="66">
        <v>241000269269</v>
      </c>
      <c r="E216" s="158">
        <f t="shared" si="39"/>
        <v>4935</v>
      </c>
      <c r="F216" s="159">
        <f t="shared" si="40"/>
        <v>0</v>
      </c>
      <c r="G216" s="160">
        <f t="shared" si="41"/>
        <v>4935</v>
      </c>
      <c r="H216" s="166"/>
      <c r="I216" s="165"/>
      <c r="J216" s="160"/>
      <c r="K216" s="160"/>
      <c r="L216" s="166"/>
      <c r="M216" s="165"/>
      <c r="N216" s="165"/>
      <c r="O216" s="165"/>
      <c r="P216" s="160"/>
      <c r="Q216" s="166"/>
      <c r="R216" s="165"/>
      <c r="S216" s="165"/>
      <c r="T216" s="159"/>
      <c r="U216" s="160"/>
      <c r="V216" s="165"/>
      <c r="W216" s="165"/>
      <c r="X216" s="160"/>
      <c r="Y216" s="166"/>
      <c r="Z216" s="160"/>
      <c r="AA216" s="165"/>
      <c r="AB216" s="165"/>
      <c r="AC216" s="165"/>
      <c r="AD216" s="165"/>
      <c r="AE216" s="165"/>
      <c r="AF216" s="160"/>
      <c r="AG216" s="160"/>
      <c r="AH216" s="160"/>
      <c r="AI216" s="160"/>
      <c r="AJ216" s="161"/>
      <c r="AK216" s="162"/>
      <c r="AL216" s="165"/>
      <c r="AM216" s="166"/>
      <c r="AN216" s="165"/>
      <c r="AO216" s="160"/>
      <c r="AP216" s="162"/>
      <c r="AQ216" s="161"/>
      <c r="AR216" s="162"/>
      <c r="AS216" s="161"/>
      <c r="AT216" s="165"/>
      <c r="AU216" s="166"/>
      <c r="AV216" s="165"/>
      <c r="AW216" s="166"/>
      <c r="AX216" s="165"/>
      <c r="AY216" s="165"/>
      <c r="AZ216" s="165"/>
      <c r="BA216" s="165"/>
      <c r="BB216" s="166"/>
      <c r="BC216" s="165"/>
      <c r="BD216" s="165"/>
      <c r="BE216" s="165"/>
      <c r="BF216" s="165"/>
      <c r="BG216" s="165"/>
      <c r="BH216" s="165">
        <v>4935</v>
      </c>
      <c r="BI216" s="165"/>
      <c r="BJ216" s="166"/>
      <c r="BK216" s="165"/>
      <c r="BL216" s="165"/>
      <c r="BM216" s="163"/>
      <c r="BN216" s="165"/>
      <c r="BO216" s="165"/>
      <c r="BP216" s="165"/>
      <c r="BQ216" s="167"/>
    </row>
    <row r="217" spans="1:69" ht="39.950000000000003" customHeight="1" outlineLevel="1" x14ac:dyDescent="0.3">
      <c r="A217" s="15" t="s">
        <v>279</v>
      </c>
      <c r="B217" s="14" t="s">
        <v>308</v>
      </c>
      <c r="C217" s="9" t="s">
        <v>30</v>
      </c>
      <c r="D217" s="68">
        <v>241000404239</v>
      </c>
      <c r="E217" s="158">
        <f t="shared" si="39"/>
        <v>42.761270000000003</v>
      </c>
      <c r="F217" s="159">
        <f t="shared" si="40"/>
        <v>16.656020000000002</v>
      </c>
      <c r="G217" s="160">
        <f t="shared" si="41"/>
        <v>26.105250000000002</v>
      </c>
      <c r="H217" s="166"/>
      <c r="I217" s="165"/>
      <c r="J217" s="160"/>
      <c r="K217" s="160"/>
      <c r="L217" s="166">
        <v>16.656020000000002</v>
      </c>
      <c r="M217" s="165">
        <v>26.105250000000002</v>
      </c>
      <c r="N217" s="165"/>
      <c r="O217" s="165"/>
      <c r="P217" s="160"/>
      <c r="Q217" s="166"/>
      <c r="R217" s="165"/>
      <c r="S217" s="165"/>
      <c r="T217" s="159"/>
      <c r="U217" s="160"/>
      <c r="V217" s="165"/>
      <c r="W217" s="165"/>
      <c r="X217" s="160"/>
      <c r="Y217" s="166"/>
      <c r="Z217" s="160"/>
      <c r="AA217" s="160"/>
      <c r="AB217" s="165"/>
      <c r="AC217" s="165"/>
      <c r="AD217" s="165"/>
      <c r="AE217" s="165"/>
      <c r="AF217" s="160"/>
      <c r="AG217" s="160"/>
      <c r="AH217" s="160"/>
      <c r="AI217" s="160"/>
      <c r="AJ217" s="161"/>
      <c r="AK217" s="162"/>
      <c r="AL217" s="165"/>
      <c r="AM217" s="166"/>
      <c r="AN217" s="165"/>
      <c r="AO217" s="160"/>
      <c r="AP217" s="162"/>
      <c r="AQ217" s="161"/>
      <c r="AR217" s="162"/>
      <c r="AS217" s="161"/>
      <c r="AT217" s="165"/>
      <c r="AU217" s="166"/>
      <c r="AV217" s="165"/>
      <c r="AW217" s="166"/>
      <c r="AX217" s="165"/>
      <c r="AY217" s="165"/>
      <c r="AZ217" s="165"/>
      <c r="BA217" s="165"/>
      <c r="BB217" s="166"/>
      <c r="BC217" s="165"/>
      <c r="BD217" s="165"/>
      <c r="BE217" s="165"/>
      <c r="BF217" s="165"/>
      <c r="BG217" s="165"/>
      <c r="BH217" s="165"/>
      <c r="BI217" s="165"/>
      <c r="BJ217" s="166"/>
      <c r="BK217" s="165"/>
      <c r="BL217" s="165"/>
      <c r="BM217" s="163"/>
      <c r="BN217" s="165"/>
      <c r="BO217" s="165"/>
      <c r="BP217" s="165"/>
      <c r="BQ217" s="167"/>
    </row>
    <row r="218" spans="1:69" ht="39.950000000000003" customHeight="1" outlineLevel="1" x14ac:dyDescent="0.3">
      <c r="A218" s="15" t="s">
        <v>279</v>
      </c>
      <c r="B218" s="14" t="s">
        <v>1121</v>
      </c>
      <c r="C218" s="22" t="s">
        <v>30</v>
      </c>
      <c r="D218" s="66" t="s">
        <v>1180</v>
      </c>
      <c r="E218" s="158">
        <f t="shared" si="39"/>
        <v>593.84361000000001</v>
      </c>
      <c r="F218" s="159">
        <f t="shared" si="40"/>
        <v>98.120590000000007</v>
      </c>
      <c r="G218" s="160">
        <f t="shared" si="41"/>
        <v>495.72302000000002</v>
      </c>
      <c r="H218" s="166"/>
      <c r="I218" s="165"/>
      <c r="J218" s="160"/>
      <c r="K218" s="160"/>
      <c r="L218" s="166">
        <v>98.120590000000007</v>
      </c>
      <c r="M218" s="165">
        <v>153.78602000000001</v>
      </c>
      <c r="N218" s="165"/>
      <c r="O218" s="165"/>
      <c r="P218" s="160"/>
      <c r="Q218" s="166"/>
      <c r="R218" s="165"/>
      <c r="S218" s="165"/>
      <c r="T218" s="159"/>
      <c r="U218" s="160"/>
      <c r="V218" s="165"/>
      <c r="W218" s="165"/>
      <c r="X218" s="160"/>
      <c r="Y218" s="166"/>
      <c r="Z218" s="160"/>
      <c r="AA218" s="160"/>
      <c r="AB218" s="165"/>
      <c r="AC218" s="165"/>
      <c r="AD218" s="165"/>
      <c r="AE218" s="165"/>
      <c r="AF218" s="160"/>
      <c r="AG218" s="160"/>
      <c r="AH218" s="160"/>
      <c r="AI218" s="160"/>
      <c r="AJ218" s="161"/>
      <c r="AK218" s="162"/>
      <c r="AL218" s="165"/>
      <c r="AM218" s="166"/>
      <c r="AN218" s="165"/>
      <c r="AO218" s="160"/>
      <c r="AP218" s="162"/>
      <c r="AQ218" s="161"/>
      <c r="AR218" s="162"/>
      <c r="AS218" s="161"/>
      <c r="AT218" s="165"/>
      <c r="AU218" s="166"/>
      <c r="AV218" s="165"/>
      <c r="AW218" s="166"/>
      <c r="AX218" s="165"/>
      <c r="AY218" s="165"/>
      <c r="AZ218" s="165"/>
      <c r="BA218" s="165"/>
      <c r="BB218" s="166"/>
      <c r="BC218" s="165"/>
      <c r="BD218" s="165"/>
      <c r="BE218" s="165"/>
      <c r="BF218" s="165">
        <v>341.93700000000001</v>
      </c>
      <c r="BG218" s="165"/>
      <c r="BH218" s="165"/>
      <c r="BI218" s="165"/>
      <c r="BJ218" s="166"/>
      <c r="BK218" s="165"/>
      <c r="BL218" s="165"/>
      <c r="BM218" s="163"/>
      <c r="BN218" s="165"/>
      <c r="BO218" s="165"/>
      <c r="BP218" s="165"/>
      <c r="BQ218" s="167"/>
    </row>
    <row r="219" spans="1:69" ht="39.950000000000003" customHeight="1" outlineLevel="1" x14ac:dyDescent="0.3">
      <c r="A219" s="12" t="s">
        <v>279</v>
      </c>
      <c r="B219" s="14" t="s">
        <v>1476</v>
      </c>
      <c r="C219" s="9" t="s">
        <v>30</v>
      </c>
      <c r="D219" s="66" t="s">
        <v>319</v>
      </c>
      <c r="E219" s="158">
        <f t="shared" ref="E219:E236" si="42">F219+G219</f>
        <v>278.87725</v>
      </c>
      <c r="F219" s="159">
        <f t="shared" si="40"/>
        <v>194.46507</v>
      </c>
      <c r="G219" s="160">
        <f t="shared" si="41"/>
        <v>84.412180000000006</v>
      </c>
      <c r="H219" s="166">
        <v>178.58924999999999</v>
      </c>
      <c r="I219" s="165">
        <v>59.52975</v>
      </c>
      <c r="J219" s="160"/>
      <c r="K219" s="160"/>
      <c r="L219" s="166">
        <v>15.875819999999999</v>
      </c>
      <c r="M219" s="165">
        <v>24.882429999999999</v>
      </c>
      <c r="N219" s="165"/>
      <c r="O219" s="165"/>
      <c r="P219" s="160"/>
      <c r="Q219" s="166"/>
      <c r="R219" s="165"/>
      <c r="S219" s="165"/>
      <c r="T219" s="159"/>
      <c r="U219" s="160"/>
      <c r="V219" s="165"/>
      <c r="W219" s="165"/>
      <c r="X219" s="160"/>
      <c r="Y219" s="166"/>
      <c r="Z219" s="160"/>
      <c r="AA219" s="160"/>
      <c r="AB219" s="165"/>
      <c r="AC219" s="165"/>
      <c r="AD219" s="165"/>
      <c r="AE219" s="165"/>
      <c r="AF219" s="160"/>
      <c r="AG219" s="160"/>
      <c r="AH219" s="160"/>
      <c r="AI219" s="160"/>
      <c r="AJ219" s="161"/>
      <c r="AK219" s="162"/>
      <c r="AL219" s="165"/>
      <c r="AM219" s="166"/>
      <c r="AN219" s="165"/>
      <c r="AO219" s="160"/>
      <c r="AP219" s="162"/>
      <c r="AQ219" s="161"/>
      <c r="AR219" s="162"/>
      <c r="AS219" s="161"/>
      <c r="AT219" s="165"/>
      <c r="AU219" s="166"/>
      <c r="AV219" s="165"/>
      <c r="AW219" s="166"/>
      <c r="AX219" s="165"/>
      <c r="AY219" s="165"/>
      <c r="AZ219" s="165"/>
      <c r="BA219" s="165"/>
      <c r="BB219" s="166"/>
      <c r="BC219" s="165"/>
      <c r="BD219" s="165"/>
      <c r="BE219" s="165"/>
      <c r="BF219" s="165"/>
      <c r="BG219" s="165"/>
      <c r="BH219" s="165"/>
      <c r="BI219" s="165"/>
      <c r="BJ219" s="166"/>
      <c r="BK219" s="165"/>
      <c r="BL219" s="165"/>
      <c r="BM219" s="163"/>
      <c r="BN219" s="165"/>
      <c r="BO219" s="165"/>
      <c r="BP219" s="165"/>
      <c r="BQ219" s="167"/>
    </row>
    <row r="220" spans="1:69" ht="39.950000000000003" customHeight="1" outlineLevel="1" x14ac:dyDescent="0.3">
      <c r="A220" s="12" t="s">
        <v>279</v>
      </c>
      <c r="B220" s="14" t="s">
        <v>301</v>
      </c>
      <c r="C220" s="9" t="s">
        <v>30</v>
      </c>
      <c r="D220" s="68">
        <v>241000828573</v>
      </c>
      <c r="E220" s="158">
        <f t="shared" si="42"/>
        <v>28.243639999999999</v>
      </c>
      <c r="F220" s="159">
        <f t="shared" si="40"/>
        <v>11.00123</v>
      </c>
      <c r="G220" s="160">
        <f t="shared" si="41"/>
        <v>17.24241</v>
      </c>
      <c r="H220" s="166"/>
      <c r="I220" s="165"/>
      <c r="J220" s="160"/>
      <c r="K220" s="160"/>
      <c r="L220" s="166">
        <v>11.00123</v>
      </c>
      <c r="M220" s="165">
        <v>17.24241</v>
      </c>
      <c r="N220" s="165"/>
      <c r="O220" s="165"/>
      <c r="P220" s="160"/>
      <c r="Q220" s="166"/>
      <c r="R220" s="165"/>
      <c r="S220" s="165"/>
      <c r="T220" s="159"/>
      <c r="U220" s="160"/>
      <c r="V220" s="165"/>
      <c r="W220" s="165"/>
      <c r="X220" s="160"/>
      <c r="Y220" s="166"/>
      <c r="Z220" s="160"/>
      <c r="AA220" s="160"/>
      <c r="AB220" s="165"/>
      <c r="AC220" s="165"/>
      <c r="AD220" s="165"/>
      <c r="AE220" s="165"/>
      <c r="AF220" s="160"/>
      <c r="AG220" s="160"/>
      <c r="AH220" s="160"/>
      <c r="AI220" s="160"/>
      <c r="AJ220" s="161"/>
      <c r="AK220" s="162"/>
      <c r="AL220" s="165"/>
      <c r="AM220" s="166"/>
      <c r="AN220" s="165"/>
      <c r="AO220" s="160"/>
      <c r="AP220" s="162"/>
      <c r="AQ220" s="161"/>
      <c r="AR220" s="162"/>
      <c r="AS220" s="161"/>
      <c r="AT220" s="165"/>
      <c r="AU220" s="166"/>
      <c r="AV220" s="165"/>
      <c r="AW220" s="166"/>
      <c r="AX220" s="165"/>
      <c r="AY220" s="165"/>
      <c r="AZ220" s="165"/>
      <c r="BA220" s="165"/>
      <c r="BB220" s="166"/>
      <c r="BC220" s="165"/>
      <c r="BD220" s="165"/>
      <c r="BE220" s="165"/>
      <c r="BF220" s="165"/>
      <c r="BG220" s="165"/>
      <c r="BH220" s="165"/>
      <c r="BI220" s="165"/>
      <c r="BJ220" s="166"/>
      <c r="BK220" s="165"/>
      <c r="BL220" s="165"/>
      <c r="BM220" s="163"/>
      <c r="BN220" s="165"/>
      <c r="BO220" s="165"/>
      <c r="BP220" s="165"/>
      <c r="BQ220" s="167"/>
    </row>
    <row r="221" spans="1:69" ht="39.950000000000003" customHeight="1" outlineLevel="1" x14ac:dyDescent="0.3">
      <c r="A221" s="15" t="s">
        <v>279</v>
      </c>
      <c r="B221" s="14" t="s">
        <v>302</v>
      </c>
      <c r="C221" s="9" t="s">
        <v>30</v>
      </c>
      <c r="D221" s="66" t="s">
        <v>303</v>
      </c>
      <c r="E221" s="158">
        <f t="shared" si="42"/>
        <v>45.019949999999994</v>
      </c>
      <c r="F221" s="159">
        <f t="shared" si="40"/>
        <v>17.535799999999998</v>
      </c>
      <c r="G221" s="160">
        <f t="shared" si="41"/>
        <v>27.48415</v>
      </c>
      <c r="H221" s="166"/>
      <c r="I221" s="165"/>
      <c r="J221" s="160"/>
      <c r="K221" s="160"/>
      <c r="L221" s="166">
        <v>17.535799999999998</v>
      </c>
      <c r="M221" s="165">
        <v>27.48415</v>
      </c>
      <c r="N221" s="165"/>
      <c r="O221" s="165"/>
      <c r="P221" s="160"/>
      <c r="Q221" s="166"/>
      <c r="R221" s="165"/>
      <c r="S221" s="165"/>
      <c r="T221" s="159"/>
      <c r="U221" s="160"/>
      <c r="V221" s="165"/>
      <c r="W221" s="165"/>
      <c r="X221" s="160"/>
      <c r="Y221" s="166"/>
      <c r="Z221" s="160"/>
      <c r="AA221" s="160"/>
      <c r="AB221" s="165"/>
      <c r="AC221" s="165"/>
      <c r="AD221" s="165"/>
      <c r="AE221" s="165"/>
      <c r="AF221" s="160"/>
      <c r="AG221" s="160"/>
      <c r="AH221" s="160"/>
      <c r="AI221" s="160"/>
      <c r="AJ221" s="161"/>
      <c r="AK221" s="162"/>
      <c r="AL221" s="165"/>
      <c r="AM221" s="166"/>
      <c r="AN221" s="165"/>
      <c r="AO221" s="160"/>
      <c r="AP221" s="162"/>
      <c r="AQ221" s="161"/>
      <c r="AR221" s="162"/>
      <c r="AS221" s="161"/>
      <c r="AT221" s="165"/>
      <c r="AU221" s="166"/>
      <c r="AV221" s="165"/>
      <c r="AW221" s="166"/>
      <c r="AX221" s="165"/>
      <c r="AY221" s="165"/>
      <c r="AZ221" s="165"/>
      <c r="BA221" s="165"/>
      <c r="BB221" s="166"/>
      <c r="BC221" s="165"/>
      <c r="BD221" s="165"/>
      <c r="BE221" s="165"/>
      <c r="BF221" s="165"/>
      <c r="BG221" s="165"/>
      <c r="BH221" s="165"/>
      <c r="BI221" s="165"/>
      <c r="BJ221" s="166"/>
      <c r="BK221" s="165"/>
      <c r="BL221" s="165"/>
      <c r="BM221" s="163"/>
      <c r="BN221" s="165"/>
      <c r="BO221" s="165"/>
      <c r="BP221" s="165"/>
      <c r="BQ221" s="167"/>
    </row>
    <row r="222" spans="1:69" ht="39.950000000000003" customHeight="1" outlineLevel="1" x14ac:dyDescent="0.3">
      <c r="A222" s="15" t="s">
        <v>279</v>
      </c>
      <c r="B222" s="14" t="s">
        <v>1410</v>
      </c>
      <c r="C222" s="9" t="s">
        <v>30</v>
      </c>
      <c r="D222" s="66">
        <v>241000568251</v>
      </c>
      <c r="E222" s="158">
        <f t="shared" si="42"/>
        <v>2958.3</v>
      </c>
      <c r="F222" s="159">
        <f t="shared" si="40"/>
        <v>0</v>
      </c>
      <c r="G222" s="160">
        <f t="shared" si="41"/>
        <v>2958.3</v>
      </c>
      <c r="H222" s="166"/>
      <c r="I222" s="165"/>
      <c r="J222" s="160"/>
      <c r="K222" s="160"/>
      <c r="L222" s="166"/>
      <c r="M222" s="165"/>
      <c r="N222" s="165"/>
      <c r="O222" s="165"/>
      <c r="P222" s="160"/>
      <c r="Q222" s="166"/>
      <c r="R222" s="165"/>
      <c r="S222" s="165"/>
      <c r="T222" s="159"/>
      <c r="U222" s="160"/>
      <c r="V222" s="165"/>
      <c r="W222" s="165"/>
      <c r="X222" s="160"/>
      <c r="Y222" s="166"/>
      <c r="Z222" s="160"/>
      <c r="AA222" s="160"/>
      <c r="AB222" s="165"/>
      <c r="AC222" s="165"/>
      <c r="AD222" s="165"/>
      <c r="AE222" s="165"/>
      <c r="AF222" s="160"/>
      <c r="AG222" s="160"/>
      <c r="AH222" s="160"/>
      <c r="AI222" s="160"/>
      <c r="AJ222" s="161">
        <v>2958.3</v>
      </c>
      <c r="AK222" s="162"/>
      <c r="AL222" s="165"/>
      <c r="AM222" s="166"/>
      <c r="AN222" s="165"/>
      <c r="AO222" s="160"/>
      <c r="AP222" s="162"/>
      <c r="AQ222" s="161"/>
      <c r="AR222" s="162"/>
      <c r="AS222" s="161"/>
      <c r="AT222" s="165"/>
      <c r="AU222" s="166"/>
      <c r="AV222" s="165"/>
      <c r="AW222" s="166"/>
      <c r="AX222" s="165"/>
      <c r="AY222" s="165"/>
      <c r="AZ222" s="165"/>
      <c r="BA222" s="165"/>
      <c r="BB222" s="166"/>
      <c r="BC222" s="165"/>
      <c r="BD222" s="165"/>
      <c r="BE222" s="165"/>
      <c r="BF222" s="165"/>
      <c r="BG222" s="165"/>
      <c r="BH222" s="165"/>
      <c r="BI222" s="165"/>
      <c r="BJ222" s="166"/>
      <c r="BK222" s="165"/>
      <c r="BL222" s="165"/>
      <c r="BM222" s="163"/>
      <c r="BN222" s="165"/>
      <c r="BO222" s="165"/>
      <c r="BP222" s="165"/>
      <c r="BQ222" s="167"/>
    </row>
    <row r="223" spans="1:69" ht="39.950000000000003" customHeight="1" outlineLevel="1" x14ac:dyDescent="0.3">
      <c r="A223" s="15" t="s">
        <v>279</v>
      </c>
      <c r="B223" s="14" t="s">
        <v>1470</v>
      </c>
      <c r="C223" s="9" t="s">
        <v>30</v>
      </c>
      <c r="D223" s="66">
        <v>2410002340</v>
      </c>
      <c r="E223" s="158">
        <f t="shared" si="42"/>
        <v>45.264040000000001</v>
      </c>
      <c r="F223" s="159">
        <f t="shared" si="40"/>
        <v>17.630880000000001</v>
      </c>
      <c r="G223" s="160">
        <f t="shared" si="41"/>
        <v>27.63316</v>
      </c>
      <c r="H223" s="166"/>
      <c r="I223" s="165"/>
      <c r="J223" s="160"/>
      <c r="K223" s="160"/>
      <c r="L223" s="166">
        <v>17.630880000000001</v>
      </c>
      <c r="M223" s="165">
        <v>27.63316</v>
      </c>
      <c r="N223" s="165"/>
      <c r="O223" s="165"/>
      <c r="P223" s="160"/>
      <c r="Q223" s="166"/>
      <c r="R223" s="165"/>
      <c r="S223" s="165"/>
      <c r="T223" s="159"/>
      <c r="U223" s="160"/>
      <c r="V223" s="165"/>
      <c r="W223" s="165"/>
      <c r="X223" s="160"/>
      <c r="Y223" s="166"/>
      <c r="Z223" s="160"/>
      <c r="AA223" s="160"/>
      <c r="AB223" s="165"/>
      <c r="AC223" s="165"/>
      <c r="AD223" s="165"/>
      <c r="AE223" s="165"/>
      <c r="AF223" s="160"/>
      <c r="AG223" s="160"/>
      <c r="AH223" s="160"/>
      <c r="AI223" s="160"/>
      <c r="AJ223" s="161"/>
      <c r="AK223" s="162"/>
      <c r="AL223" s="165"/>
      <c r="AM223" s="166"/>
      <c r="AN223" s="165"/>
      <c r="AO223" s="160"/>
      <c r="AP223" s="162"/>
      <c r="AQ223" s="161"/>
      <c r="AR223" s="162"/>
      <c r="AS223" s="161"/>
      <c r="AT223" s="165"/>
      <c r="AU223" s="166"/>
      <c r="AV223" s="165"/>
      <c r="AW223" s="166"/>
      <c r="AX223" s="165"/>
      <c r="AY223" s="165"/>
      <c r="AZ223" s="165"/>
      <c r="BA223" s="165"/>
      <c r="BB223" s="166"/>
      <c r="BC223" s="165"/>
      <c r="BD223" s="165"/>
      <c r="BE223" s="165"/>
      <c r="BF223" s="165"/>
      <c r="BG223" s="165"/>
      <c r="BH223" s="165"/>
      <c r="BI223" s="165"/>
      <c r="BJ223" s="166"/>
      <c r="BK223" s="165"/>
      <c r="BL223" s="165"/>
      <c r="BM223" s="163"/>
      <c r="BN223" s="165"/>
      <c r="BO223" s="165"/>
      <c r="BP223" s="165"/>
      <c r="BQ223" s="167"/>
    </row>
    <row r="224" spans="1:69" ht="39.950000000000003" customHeight="1" outlineLevel="1" x14ac:dyDescent="0.3">
      <c r="A224" s="15" t="s">
        <v>279</v>
      </c>
      <c r="B224" s="14" t="s">
        <v>321</v>
      </c>
      <c r="C224" s="9" t="s">
        <v>73</v>
      </c>
      <c r="D224" s="66" t="s">
        <v>322</v>
      </c>
      <c r="E224" s="158">
        <f t="shared" si="42"/>
        <v>1923.0531999999998</v>
      </c>
      <c r="F224" s="159">
        <f t="shared" si="40"/>
        <v>0</v>
      </c>
      <c r="G224" s="160">
        <f t="shared" si="41"/>
        <v>1923.0531999999998</v>
      </c>
      <c r="H224" s="166"/>
      <c r="I224" s="165"/>
      <c r="J224" s="160"/>
      <c r="K224" s="160"/>
      <c r="L224" s="166"/>
      <c r="M224" s="165"/>
      <c r="N224" s="165"/>
      <c r="O224" s="165"/>
      <c r="P224" s="160"/>
      <c r="Q224" s="166"/>
      <c r="R224" s="165"/>
      <c r="S224" s="165"/>
      <c r="T224" s="159"/>
      <c r="U224" s="160"/>
      <c r="V224" s="165"/>
      <c r="W224" s="165"/>
      <c r="X224" s="160"/>
      <c r="Y224" s="166"/>
      <c r="Z224" s="160"/>
      <c r="AA224" s="160"/>
      <c r="AB224" s="165"/>
      <c r="AC224" s="165"/>
      <c r="AD224" s="165"/>
      <c r="AE224" s="165"/>
      <c r="AF224" s="160"/>
      <c r="AG224" s="160"/>
      <c r="AH224" s="160"/>
      <c r="AI224" s="160"/>
      <c r="AJ224" s="161"/>
      <c r="AK224" s="162"/>
      <c r="AL224" s="165"/>
      <c r="AM224" s="166"/>
      <c r="AN224" s="165"/>
      <c r="AO224" s="160"/>
      <c r="AP224" s="162"/>
      <c r="AQ224" s="161"/>
      <c r="AR224" s="162"/>
      <c r="AS224" s="161"/>
      <c r="AT224" s="165">
        <f>714.933+764.9707+207.05045+236.09905</f>
        <v>1923.0531999999998</v>
      </c>
      <c r="AU224" s="166"/>
      <c r="AV224" s="165"/>
      <c r="AW224" s="166"/>
      <c r="AX224" s="165"/>
      <c r="AY224" s="165"/>
      <c r="AZ224" s="165"/>
      <c r="BA224" s="165"/>
      <c r="BB224" s="166"/>
      <c r="BC224" s="165"/>
      <c r="BD224" s="165"/>
      <c r="BE224" s="165"/>
      <c r="BF224" s="165"/>
      <c r="BG224" s="165"/>
      <c r="BH224" s="165"/>
      <c r="BI224" s="165"/>
      <c r="BJ224" s="166"/>
      <c r="BK224" s="165"/>
      <c r="BL224" s="165"/>
      <c r="BM224" s="163"/>
      <c r="BN224" s="165"/>
      <c r="BO224" s="165"/>
      <c r="BP224" s="165"/>
      <c r="BQ224" s="167"/>
    </row>
    <row r="225" spans="1:270" ht="39.950000000000003" customHeight="1" outlineLevel="1" x14ac:dyDescent="0.3">
      <c r="A225" s="15" t="s">
        <v>279</v>
      </c>
      <c r="B225" s="14" t="s">
        <v>280</v>
      </c>
      <c r="C225" s="9" t="s">
        <v>6</v>
      </c>
      <c r="D225" s="66" t="s">
        <v>281</v>
      </c>
      <c r="E225" s="158">
        <f t="shared" si="42"/>
        <v>7223.6339100000005</v>
      </c>
      <c r="F225" s="159">
        <f t="shared" si="40"/>
        <v>1549.46109</v>
      </c>
      <c r="G225" s="160">
        <f t="shared" si="41"/>
        <v>5674.1728200000007</v>
      </c>
      <c r="H225" s="166">
        <v>742.38149999999996</v>
      </c>
      <c r="I225" s="165">
        <v>247.4605</v>
      </c>
      <c r="J225" s="160"/>
      <c r="K225" s="160"/>
      <c r="L225" s="166">
        <v>807.07959000000005</v>
      </c>
      <c r="M225" s="165">
        <v>1264.9492299999999</v>
      </c>
      <c r="N225" s="165"/>
      <c r="O225" s="165"/>
      <c r="P225" s="160"/>
      <c r="Q225" s="166"/>
      <c r="R225" s="165"/>
      <c r="S225" s="165"/>
      <c r="T225" s="159"/>
      <c r="U225" s="160"/>
      <c r="V225" s="165"/>
      <c r="W225" s="165"/>
      <c r="X225" s="160"/>
      <c r="Y225" s="166"/>
      <c r="Z225" s="160"/>
      <c r="AA225" s="160"/>
      <c r="AB225" s="165"/>
      <c r="AC225" s="165"/>
      <c r="AD225" s="165"/>
      <c r="AE225" s="165"/>
      <c r="AF225" s="160"/>
      <c r="AG225" s="160"/>
      <c r="AH225" s="160">
        <v>55.820149999999998</v>
      </c>
      <c r="AI225" s="160"/>
      <c r="AJ225" s="161"/>
      <c r="AK225" s="162"/>
      <c r="AL225" s="165"/>
      <c r="AM225" s="166"/>
      <c r="AN225" s="165"/>
      <c r="AO225" s="160"/>
      <c r="AP225" s="162"/>
      <c r="AQ225" s="161"/>
      <c r="AR225" s="162"/>
      <c r="AS225" s="161"/>
      <c r="AT225" s="165"/>
      <c r="AU225" s="166"/>
      <c r="AV225" s="165"/>
      <c r="AW225" s="166"/>
      <c r="AX225" s="165"/>
      <c r="AY225" s="165"/>
      <c r="AZ225" s="165"/>
      <c r="BA225" s="165"/>
      <c r="BB225" s="166"/>
      <c r="BC225" s="165"/>
      <c r="BD225" s="165"/>
      <c r="BE225" s="165">
        <v>2575.18694</v>
      </c>
      <c r="BF225" s="165"/>
      <c r="BG225" s="165">
        <v>1530.7560000000001</v>
      </c>
      <c r="BH225" s="165"/>
      <c r="BI225" s="165"/>
      <c r="BJ225" s="166"/>
      <c r="BK225" s="165"/>
      <c r="BL225" s="165"/>
      <c r="BM225" s="163"/>
      <c r="BN225" s="165"/>
      <c r="BO225" s="165"/>
      <c r="BP225" s="165"/>
      <c r="BQ225" s="167"/>
    </row>
    <row r="226" spans="1:270" ht="39.950000000000003" customHeight="1" outlineLevel="1" x14ac:dyDescent="0.3">
      <c r="A226" s="15" t="s">
        <v>279</v>
      </c>
      <c r="B226" s="14" t="s">
        <v>282</v>
      </c>
      <c r="C226" s="9" t="s">
        <v>6</v>
      </c>
      <c r="D226" s="66" t="s">
        <v>283</v>
      </c>
      <c r="E226" s="158">
        <f t="shared" si="42"/>
        <v>4090.7378099999996</v>
      </c>
      <c r="F226" s="159">
        <f t="shared" si="40"/>
        <v>598.39490000000001</v>
      </c>
      <c r="G226" s="160">
        <f t="shared" si="41"/>
        <v>3492.3429099999998</v>
      </c>
      <c r="H226" s="166">
        <v>410.55</v>
      </c>
      <c r="I226" s="165">
        <v>136.85</v>
      </c>
      <c r="J226" s="160"/>
      <c r="K226" s="160"/>
      <c r="L226" s="166">
        <v>187.8449</v>
      </c>
      <c r="M226" s="165">
        <v>294.41242999999997</v>
      </c>
      <c r="N226" s="165"/>
      <c r="O226" s="165"/>
      <c r="P226" s="160"/>
      <c r="Q226" s="166"/>
      <c r="R226" s="165"/>
      <c r="S226" s="165"/>
      <c r="T226" s="159"/>
      <c r="U226" s="160"/>
      <c r="V226" s="165"/>
      <c r="W226" s="165"/>
      <c r="X226" s="160"/>
      <c r="Y226" s="166"/>
      <c r="Z226" s="160"/>
      <c r="AA226" s="160"/>
      <c r="AB226" s="165"/>
      <c r="AC226" s="165"/>
      <c r="AD226" s="165"/>
      <c r="AE226" s="165"/>
      <c r="AF226" s="160"/>
      <c r="AG226" s="160"/>
      <c r="AH226" s="160"/>
      <c r="AI226" s="160"/>
      <c r="AJ226" s="161"/>
      <c r="AK226" s="162"/>
      <c r="AL226" s="165"/>
      <c r="AM226" s="166"/>
      <c r="AN226" s="165"/>
      <c r="AO226" s="160"/>
      <c r="AP226" s="162"/>
      <c r="AQ226" s="161"/>
      <c r="AR226" s="162"/>
      <c r="AS226" s="161"/>
      <c r="AT226" s="165"/>
      <c r="AU226" s="166"/>
      <c r="AV226" s="165"/>
      <c r="AW226" s="166"/>
      <c r="AX226" s="165"/>
      <c r="AY226" s="165"/>
      <c r="AZ226" s="165"/>
      <c r="BA226" s="165">
        <v>61.080480000000001</v>
      </c>
      <c r="BB226" s="166"/>
      <c r="BC226" s="165"/>
      <c r="BD226" s="165"/>
      <c r="BE226" s="165"/>
      <c r="BF226" s="165"/>
      <c r="BG226" s="165"/>
      <c r="BH226" s="165">
        <v>3000</v>
      </c>
      <c r="BI226" s="165"/>
      <c r="BJ226" s="166"/>
      <c r="BK226" s="165"/>
      <c r="BL226" s="165"/>
      <c r="BM226" s="163"/>
      <c r="BN226" s="165"/>
      <c r="BO226" s="165"/>
      <c r="BP226" s="165"/>
      <c r="BQ226" s="167"/>
    </row>
    <row r="227" spans="1:270" ht="39.950000000000003" customHeight="1" outlineLevel="1" x14ac:dyDescent="0.3">
      <c r="A227" s="15" t="s">
        <v>279</v>
      </c>
      <c r="B227" s="14" t="s">
        <v>112</v>
      </c>
      <c r="C227" s="9" t="s">
        <v>6</v>
      </c>
      <c r="D227" s="66" t="s">
        <v>284</v>
      </c>
      <c r="E227" s="158">
        <f t="shared" si="42"/>
        <v>3559.8155699999998</v>
      </c>
      <c r="F227" s="159">
        <f t="shared" si="40"/>
        <v>836.57719999999995</v>
      </c>
      <c r="G227" s="160">
        <f t="shared" si="41"/>
        <v>2723.23837</v>
      </c>
      <c r="H227" s="166">
        <v>666.94489999999996</v>
      </c>
      <c r="I227" s="165">
        <v>222.31496000000001</v>
      </c>
      <c r="J227" s="160"/>
      <c r="K227" s="160"/>
      <c r="L227" s="166">
        <v>169.63229999999999</v>
      </c>
      <c r="M227" s="165">
        <v>265.86752000000001</v>
      </c>
      <c r="N227" s="165"/>
      <c r="O227" s="165"/>
      <c r="P227" s="160"/>
      <c r="Q227" s="166"/>
      <c r="R227" s="165"/>
      <c r="S227" s="165"/>
      <c r="T227" s="159"/>
      <c r="U227" s="160"/>
      <c r="V227" s="165"/>
      <c r="W227" s="165"/>
      <c r="X227" s="160"/>
      <c r="Y227" s="166"/>
      <c r="Z227" s="160"/>
      <c r="AA227" s="160"/>
      <c r="AB227" s="165"/>
      <c r="AC227" s="165"/>
      <c r="AD227" s="165"/>
      <c r="AE227" s="165"/>
      <c r="AF227" s="160"/>
      <c r="AG227" s="160"/>
      <c r="AH227" s="160"/>
      <c r="AI227" s="160"/>
      <c r="AJ227" s="161"/>
      <c r="AK227" s="162"/>
      <c r="AL227" s="165"/>
      <c r="AM227" s="166"/>
      <c r="AN227" s="165"/>
      <c r="AO227" s="160"/>
      <c r="AP227" s="162"/>
      <c r="AQ227" s="161"/>
      <c r="AR227" s="162"/>
      <c r="AS227" s="161"/>
      <c r="AT227" s="165"/>
      <c r="AU227" s="166"/>
      <c r="AV227" s="165"/>
      <c r="AW227" s="166"/>
      <c r="AX227" s="165"/>
      <c r="AY227" s="165"/>
      <c r="AZ227" s="165"/>
      <c r="BA227" s="165"/>
      <c r="BB227" s="166"/>
      <c r="BC227" s="165"/>
      <c r="BD227" s="165"/>
      <c r="BE227" s="165"/>
      <c r="BF227" s="165"/>
      <c r="BG227" s="165"/>
      <c r="BH227" s="165">
        <v>1935</v>
      </c>
      <c r="BI227" s="165"/>
      <c r="BJ227" s="166"/>
      <c r="BK227" s="165"/>
      <c r="BL227" s="165"/>
      <c r="BM227" s="163"/>
      <c r="BN227" s="165"/>
      <c r="BO227" s="165">
        <v>300.05588999999998</v>
      </c>
      <c r="BP227" s="165"/>
      <c r="BQ227" s="167"/>
    </row>
    <row r="228" spans="1:270" ht="39.950000000000003" customHeight="1" outlineLevel="1" x14ac:dyDescent="0.3">
      <c r="A228" s="15" t="s">
        <v>279</v>
      </c>
      <c r="B228" s="14" t="s">
        <v>285</v>
      </c>
      <c r="C228" s="9" t="s">
        <v>6</v>
      </c>
      <c r="D228" s="68">
        <v>2410004098</v>
      </c>
      <c r="E228" s="158">
        <f t="shared" si="42"/>
        <v>2494.0693000000001</v>
      </c>
      <c r="F228" s="159">
        <f t="shared" si="40"/>
        <v>757.49571000000003</v>
      </c>
      <c r="G228" s="160">
        <f t="shared" si="41"/>
        <v>1736.57359</v>
      </c>
      <c r="H228" s="166"/>
      <c r="I228" s="165"/>
      <c r="J228" s="160"/>
      <c r="K228" s="160"/>
      <c r="L228" s="166">
        <v>757.49571000000003</v>
      </c>
      <c r="M228" s="165">
        <v>1187.23558</v>
      </c>
      <c r="N228" s="165"/>
      <c r="O228" s="165"/>
      <c r="P228" s="160"/>
      <c r="Q228" s="166"/>
      <c r="R228" s="165"/>
      <c r="S228" s="165"/>
      <c r="T228" s="159"/>
      <c r="U228" s="160"/>
      <c r="V228" s="165"/>
      <c r="W228" s="165"/>
      <c r="X228" s="160"/>
      <c r="Y228" s="166"/>
      <c r="Z228" s="160"/>
      <c r="AA228" s="160"/>
      <c r="AB228" s="165"/>
      <c r="AC228" s="165"/>
      <c r="AD228" s="165"/>
      <c r="AE228" s="165"/>
      <c r="AF228" s="160"/>
      <c r="AG228" s="160"/>
      <c r="AH228" s="160"/>
      <c r="AI228" s="160"/>
      <c r="AJ228" s="161"/>
      <c r="AK228" s="162"/>
      <c r="AL228" s="165"/>
      <c r="AM228" s="166"/>
      <c r="AN228" s="165"/>
      <c r="AO228" s="160"/>
      <c r="AP228" s="162"/>
      <c r="AQ228" s="161"/>
      <c r="AR228" s="162"/>
      <c r="AS228" s="161"/>
      <c r="AT228" s="165"/>
      <c r="AU228" s="166"/>
      <c r="AV228" s="165"/>
      <c r="AW228" s="166"/>
      <c r="AX228" s="165"/>
      <c r="AY228" s="165"/>
      <c r="AZ228" s="165"/>
      <c r="BA228" s="165"/>
      <c r="BB228" s="166"/>
      <c r="BC228" s="165"/>
      <c r="BD228" s="165"/>
      <c r="BE228" s="165"/>
      <c r="BF228" s="165"/>
      <c r="BG228" s="165">
        <v>216.25</v>
      </c>
      <c r="BH228" s="165"/>
      <c r="BI228" s="165"/>
      <c r="BJ228" s="166"/>
      <c r="BK228" s="165"/>
      <c r="BL228" s="165"/>
      <c r="BM228" s="163"/>
      <c r="BN228" s="165"/>
      <c r="BO228" s="165">
        <v>333.08801</v>
      </c>
      <c r="BP228" s="165"/>
      <c r="BQ228" s="167"/>
    </row>
    <row r="229" spans="1:270" ht="39.950000000000003" customHeight="1" outlineLevel="1" x14ac:dyDescent="0.3">
      <c r="A229" s="15" t="s">
        <v>279</v>
      </c>
      <c r="B229" s="14" t="s">
        <v>286</v>
      </c>
      <c r="C229" s="9" t="s">
        <v>6</v>
      </c>
      <c r="D229" s="66" t="s">
        <v>287</v>
      </c>
      <c r="E229" s="158">
        <f t="shared" si="42"/>
        <v>1044.5111400000001</v>
      </c>
      <c r="F229" s="159">
        <f t="shared" si="40"/>
        <v>390.03489000000002</v>
      </c>
      <c r="G229" s="160">
        <f t="shared" si="41"/>
        <v>654.47624999999994</v>
      </c>
      <c r="H229" s="166">
        <v>88.268249999999995</v>
      </c>
      <c r="I229" s="165">
        <v>29.422750000000001</v>
      </c>
      <c r="J229" s="160"/>
      <c r="K229" s="160"/>
      <c r="L229" s="166">
        <v>301.76664</v>
      </c>
      <c r="M229" s="165">
        <v>472.96386999999999</v>
      </c>
      <c r="N229" s="165"/>
      <c r="O229" s="165"/>
      <c r="P229" s="160"/>
      <c r="Q229" s="166"/>
      <c r="R229" s="165"/>
      <c r="S229" s="165"/>
      <c r="T229" s="159"/>
      <c r="U229" s="160"/>
      <c r="V229" s="165"/>
      <c r="W229" s="165"/>
      <c r="X229" s="160"/>
      <c r="Y229" s="166"/>
      <c r="Z229" s="160"/>
      <c r="AA229" s="160"/>
      <c r="AB229" s="165"/>
      <c r="AC229" s="165"/>
      <c r="AD229" s="165"/>
      <c r="AE229" s="165"/>
      <c r="AF229" s="160"/>
      <c r="AG229" s="160"/>
      <c r="AH229" s="160"/>
      <c r="AI229" s="160"/>
      <c r="AJ229" s="161"/>
      <c r="AK229" s="162"/>
      <c r="AL229" s="165"/>
      <c r="AM229" s="166"/>
      <c r="AN229" s="165"/>
      <c r="AO229" s="160"/>
      <c r="AP229" s="162"/>
      <c r="AQ229" s="161"/>
      <c r="AR229" s="162"/>
      <c r="AS229" s="161"/>
      <c r="AT229" s="165"/>
      <c r="AU229" s="166"/>
      <c r="AV229" s="165"/>
      <c r="AW229" s="166"/>
      <c r="AX229" s="165"/>
      <c r="AY229" s="165"/>
      <c r="AZ229" s="165"/>
      <c r="BA229" s="165">
        <v>69.310220000000001</v>
      </c>
      <c r="BB229" s="166"/>
      <c r="BC229" s="165"/>
      <c r="BD229" s="165"/>
      <c r="BE229" s="165">
        <v>82.779409999999999</v>
      </c>
      <c r="BF229" s="165"/>
      <c r="BG229" s="165"/>
      <c r="BH229" s="165"/>
      <c r="BI229" s="165"/>
      <c r="BJ229" s="166"/>
      <c r="BK229" s="165"/>
      <c r="BL229" s="165"/>
      <c r="BM229" s="163"/>
      <c r="BN229" s="165"/>
      <c r="BO229" s="165"/>
      <c r="BP229" s="165"/>
      <c r="BQ229" s="167"/>
    </row>
    <row r="230" spans="1:270" ht="39.950000000000003" customHeight="1" outlineLevel="1" x14ac:dyDescent="0.3">
      <c r="A230" s="15" t="s">
        <v>279</v>
      </c>
      <c r="B230" s="14" t="s">
        <v>288</v>
      </c>
      <c r="C230" s="9" t="s">
        <v>6</v>
      </c>
      <c r="D230" s="68">
        <v>2410001731</v>
      </c>
      <c r="E230" s="158">
        <f t="shared" si="42"/>
        <v>473.59091000000001</v>
      </c>
      <c r="F230" s="159">
        <f t="shared" si="40"/>
        <v>184.46923000000001</v>
      </c>
      <c r="G230" s="160">
        <f t="shared" si="41"/>
        <v>289.12168000000003</v>
      </c>
      <c r="H230" s="166"/>
      <c r="I230" s="165"/>
      <c r="J230" s="160"/>
      <c r="K230" s="160"/>
      <c r="L230" s="166">
        <v>184.46923000000001</v>
      </c>
      <c r="M230" s="165">
        <v>289.12168000000003</v>
      </c>
      <c r="N230" s="165"/>
      <c r="O230" s="165"/>
      <c r="P230" s="160"/>
      <c r="Q230" s="166"/>
      <c r="R230" s="165"/>
      <c r="S230" s="165"/>
      <c r="T230" s="159"/>
      <c r="U230" s="160"/>
      <c r="V230" s="165"/>
      <c r="W230" s="165"/>
      <c r="X230" s="160"/>
      <c r="Y230" s="166"/>
      <c r="Z230" s="160"/>
      <c r="AA230" s="160"/>
      <c r="AB230" s="165"/>
      <c r="AC230" s="165"/>
      <c r="AD230" s="165"/>
      <c r="AE230" s="165"/>
      <c r="AF230" s="160"/>
      <c r="AG230" s="160"/>
      <c r="AH230" s="160"/>
      <c r="AI230" s="160"/>
      <c r="AJ230" s="161"/>
      <c r="AK230" s="162"/>
      <c r="AL230" s="165"/>
      <c r="AM230" s="166"/>
      <c r="AN230" s="165"/>
      <c r="AO230" s="160"/>
      <c r="AP230" s="162"/>
      <c r="AQ230" s="161"/>
      <c r="AR230" s="162"/>
      <c r="AS230" s="161"/>
      <c r="AT230" s="165"/>
      <c r="AU230" s="166"/>
      <c r="AV230" s="165"/>
      <c r="AW230" s="166"/>
      <c r="AX230" s="165"/>
      <c r="AY230" s="165"/>
      <c r="AZ230" s="165"/>
      <c r="BA230" s="165"/>
      <c r="BB230" s="166"/>
      <c r="BC230" s="165"/>
      <c r="BD230" s="165"/>
      <c r="BE230" s="165"/>
      <c r="BF230" s="165"/>
      <c r="BG230" s="165"/>
      <c r="BH230" s="165"/>
      <c r="BI230" s="165"/>
      <c r="BJ230" s="166"/>
      <c r="BK230" s="165"/>
      <c r="BL230" s="165"/>
      <c r="BM230" s="163"/>
      <c r="BN230" s="165"/>
      <c r="BO230" s="165"/>
      <c r="BP230" s="165"/>
      <c r="BQ230" s="167"/>
    </row>
    <row r="231" spans="1:270" ht="39.950000000000003" customHeight="1" outlineLevel="1" x14ac:dyDescent="0.3">
      <c r="A231" s="15" t="s">
        <v>279</v>
      </c>
      <c r="B231" s="14" t="s">
        <v>289</v>
      </c>
      <c r="C231" s="9" t="s">
        <v>6</v>
      </c>
      <c r="D231" s="66" t="s">
        <v>290</v>
      </c>
      <c r="E231" s="158">
        <f t="shared" si="42"/>
        <v>3104.0403000000001</v>
      </c>
      <c r="F231" s="159">
        <f t="shared" si="40"/>
        <v>997.93514000000005</v>
      </c>
      <c r="G231" s="160">
        <f t="shared" si="41"/>
        <v>2106.1051600000001</v>
      </c>
      <c r="H231" s="166">
        <v>402.37574999999998</v>
      </c>
      <c r="I231" s="165">
        <v>134.12524999999999</v>
      </c>
      <c r="J231" s="160"/>
      <c r="K231" s="160"/>
      <c r="L231" s="166">
        <v>595.55939000000001</v>
      </c>
      <c r="M231" s="165">
        <v>933.43011999999999</v>
      </c>
      <c r="N231" s="165"/>
      <c r="O231" s="165"/>
      <c r="P231" s="160"/>
      <c r="Q231" s="166"/>
      <c r="R231" s="165"/>
      <c r="S231" s="165"/>
      <c r="T231" s="159"/>
      <c r="U231" s="160"/>
      <c r="V231" s="165"/>
      <c r="W231" s="165"/>
      <c r="X231" s="160"/>
      <c r="Y231" s="166"/>
      <c r="Z231" s="160"/>
      <c r="AA231" s="160"/>
      <c r="AB231" s="165"/>
      <c r="AC231" s="165"/>
      <c r="AD231" s="165"/>
      <c r="AE231" s="165"/>
      <c r="AF231" s="160"/>
      <c r="AG231" s="160"/>
      <c r="AH231" s="160"/>
      <c r="AI231" s="160">
        <v>38.567340000000002</v>
      </c>
      <c r="AJ231" s="161"/>
      <c r="AK231" s="162"/>
      <c r="AL231" s="165"/>
      <c r="AM231" s="166"/>
      <c r="AN231" s="165"/>
      <c r="AO231" s="160"/>
      <c r="AP231" s="162"/>
      <c r="AQ231" s="161"/>
      <c r="AR231" s="162"/>
      <c r="AS231" s="161"/>
      <c r="AT231" s="165"/>
      <c r="AU231" s="166"/>
      <c r="AV231" s="165"/>
      <c r="AW231" s="166"/>
      <c r="AX231" s="165"/>
      <c r="AY231" s="165"/>
      <c r="AZ231" s="165"/>
      <c r="BA231" s="165"/>
      <c r="BB231" s="166"/>
      <c r="BC231" s="165"/>
      <c r="BD231" s="165"/>
      <c r="BE231" s="165">
        <v>419.52803</v>
      </c>
      <c r="BF231" s="165"/>
      <c r="BG231" s="165">
        <v>580.45442000000003</v>
      </c>
      <c r="BH231" s="165"/>
      <c r="BI231" s="165"/>
      <c r="BJ231" s="166"/>
      <c r="BK231" s="165"/>
      <c r="BL231" s="165"/>
      <c r="BM231" s="163"/>
      <c r="BN231" s="165"/>
      <c r="BO231" s="165"/>
      <c r="BP231" s="165"/>
      <c r="BQ231" s="167"/>
    </row>
    <row r="232" spans="1:270" ht="39.950000000000003" customHeight="1" outlineLevel="1" x14ac:dyDescent="0.3">
      <c r="A232" s="15" t="s">
        <v>279</v>
      </c>
      <c r="B232" s="14" t="s">
        <v>1372</v>
      </c>
      <c r="C232" s="9" t="s">
        <v>6</v>
      </c>
      <c r="D232" s="66" t="s">
        <v>1179</v>
      </c>
      <c r="E232" s="158">
        <f t="shared" si="42"/>
        <v>17733.964250000001</v>
      </c>
      <c r="F232" s="159">
        <f t="shared" si="40"/>
        <v>3490.3377300000002</v>
      </c>
      <c r="G232" s="160">
        <f t="shared" si="41"/>
        <v>14243.62652</v>
      </c>
      <c r="H232" s="166">
        <v>432.73124999999999</v>
      </c>
      <c r="I232" s="165">
        <v>144.24375000000001</v>
      </c>
      <c r="J232" s="160"/>
      <c r="K232" s="160"/>
      <c r="L232" s="166">
        <v>1380.5097599999999</v>
      </c>
      <c r="M232" s="165">
        <v>2163.6958399999999</v>
      </c>
      <c r="N232" s="165"/>
      <c r="O232" s="165"/>
      <c r="P232" s="160"/>
      <c r="Q232" s="166"/>
      <c r="R232" s="165"/>
      <c r="S232" s="165"/>
      <c r="T232" s="159"/>
      <c r="U232" s="160"/>
      <c r="V232" s="165"/>
      <c r="W232" s="165"/>
      <c r="X232" s="160"/>
      <c r="Y232" s="166">
        <v>1677.09672</v>
      </c>
      <c r="Z232" s="160">
        <v>559.03224</v>
      </c>
      <c r="AA232" s="160">
        <v>6951.40672</v>
      </c>
      <c r="AB232" s="165"/>
      <c r="AC232" s="165"/>
      <c r="AD232" s="165"/>
      <c r="AE232" s="165"/>
      <c r="AF232" s="160"/>
      <c r="AG232" s="160"/>
      <c r="AH232" s="160"/>
      <c r="AI232" s="160"/>
      <c r="AJ232" s="161"/>
      <c r="AK232" s="162"/>
      <c r="AL232" s="165"/>
      <c r="AM232" s="166"/>
      <c r="AN232" s="165"/>
      <c r="AO232" s="160"/>
      <c r="AP232" s="162"/>
      <c r="AQ232" s="161"/>
      <c r="AR232" s="162"/>
      <c r="AS232" s="161"/>
      <c r="AT232" s="165"/>
      <c r="AU232" s="166"/>
      <c r="AV232" s="165"/>
      <c r="AW232" s="166"/>
      <c r="AX232" s="165"/>
      <c r="AY232" s="165">
        <v>270.31463000000002</v>
      </c>
      <c r="AZ232" s="165"/>
      <c r="BA232" s="165"/>
      <c r="BB232" s="166"/>
      <c r="BC232" s="165"/>
      <c r="BD232" s="165"/>
      <c r="BE232" s="165"/>
      <c r="BF232" s="165"/>
      <c r="BG232" s="165">
        <v>900.38833999999997</v>
      </c>
      <c r="BH232" s="165">
        <v>2546.04</v>
      </c>
      <c r="BI232" s="165"/>
      <c r="BJ232" s="166"/>
      <c r="BK232" s="165"/>
      <c r="BL232" s="165"/>
      <c r="BM232" s="163"/>
      <c r="BN232" s="165"/>
      <c r="BO232" s="165">
        <v>708.505</v>
      </c>
      <c r="BP232" s="165"/>
      <c r="BQ232" s="167"/>
    </row>
    <row r="233" spans="1:270" ht="39.950000000000003" customHeight="1" outlineLevel="1" x14ac:dyDescent="0.3">
      <c r="A233" s="15" t="s">
        <v>279</v>
      </c>
      <c r="B233" s="14" t="s">
        <v>1448</v>
      </c>
      <c r="C233" s="9" t="s">
        <v>6</v>
      </c>
      <c r="D233" s="66" t="s">
        <v>291</v>
      </c>
      <c r="E233" s="158">
        <f t="shared" si="42"/>
        <v>1215.43796</v>
      </c>
      <c r="F233" s="159">
        <f t="shared" si="40"/>
        <v>553.40499999999997</v>
      </c>
      <c r="G233" s="160">
        <f t="shared" si="41"/>
        <v>662.03296</v>
      </c>
      <c r="H233" s="166"/>
      <c r="I233" s="165"/>
      <c r="J233" s="160"/>
      <c r="K233" s="160"/>
      <c r="L233" s="166"/>
      <c r="M233" s="165"/>
      <c r="N233" s="165"/>
      <c r="O233" s="165"/>
      <c r="P233" s="160"/>
      <c r="Q233" s="166"/>
      <c r="R233" s="165"/>
      <c r="S233" s="165"/>
      <c r="T233" s="159"/>
      <c r="U233" s="160"/>
      <c r="V233" s="165"/>
      <c r="W233" s="165"/>
      <c r="X233" s="160"/>
      <c r="Y233" s="166"/>
      <c r="Z233" s="160"/>
      <c r="AA233" s="160"/>
      <c r="AB233" s="165"/>
      <c r="AC233" s="165"/>
      <c r="AD233" s="165"/>
      <c r="AE233" s="165"/>
      <c r="AF233" s="160"/>
      <c r="AG233" s="160"/>
      <c r="AH233" s="160">
        <v>3.3904100000000001</v>
      </c>
      <c r="AI233" s="160"/>
      <c r="AJ233" s="161"/>
      <c r="AK233" s="162"/>
      <c r="AL233" s="165"/>
      <c r="AM233" s="166"/>
      <c r="AN233" s="165"/>
      <c r="AO233" s="160"/>
      <c r="AP233" s="162"/>
      <c r="AQ233" s="161"/>
      <c r="AR233" s="162"/>
      <c r="AS233" s="161"/>
      <c r="AT233" s="165"/>
      <c r="AU233" s="166"/>
      <c r="AV233" s="165"/>
      <c r="AW233" s="166">
        <f>169.31033+257.19356+126.90111</f>
        <v>553.40499999999997</v>
      </c>
      <c r="AX233" s="165">
        <f>11.27534+9.25358+4.46067+50.57321+76.82405+37.90552</f>
        <v>190.29237000000001</v>
      </c>
      <c r="AY233" s="165"/>
      <c r="AZ233" s="165"/>
      <c r="BA233" s="165">
        <v>468.35018000000002</v>
      </c>
      <c r="BB233" s="166"/>
      <c r="BC233" s="165"/>
      <c r="BD233" s="165"/>
      <c r="BE233" s="165"/>
      <c r="BF233" s="165"/>
      <c r="BG233" s="165"/>
      <c r="BH233" s="165"/>
      <c r="BI233" s="165"/>
      <c r="BJ233" s="166"/>
      <c r="BK233" s="165"/>
      <c r="BL233" s="165"/>
      <c r="BM233" s="163"/>
      <c r="BN233" s="165"/>
      <c r="BO233" s="165"/>
      <c r="BP233" s="165"/>
      <c r="BQ233" s="167"/>
    </row>
    <row r="234" spans="1:270" ht="39.950000000000003" customHeight="1" outlineLevel="1" x14ac:dyDescent="0.3">
      <c r="A234" s="15" t="s">
        <v>279</v>
      </c>
      <c r="B234" s="14" t="s">
        <v>292</v>
      </c>
      <c r="C234" s="9" t="s">
        <v>6</v>
      </c>
      <c r="D234" s="68">
        <v>2410003778</v>
      </c>
      <c r="E234" s="158">
        <f t="shared" si="42"/>
        <v>112.69101999999999</v>
      </c>
      <c r="F234" s="159">
        <f t="shared" si="40"/>
        <v>43.894480000000001</v>
      </c>
      <c r="G234" s="160">
        <f t="shared" si="41"/>
        <v>68.796539999999993</v>
      </c>
      <c r="H234" s="166"/>
      <c r="I234" s="165"/>
      <c r="J234" s="160"/>
      <c r="K234" s="160"/>
      <c r="L234" s="166">
        <v>43.894480000000001</v>
      </c>
      <c r="M234" s="165">
        <v>68.796539999999993</v>
      </c>
      <c r="N234" s="165"/>
      <c r="O234" s="165"/>
      <c r="P234" s="160"/>
      <c r="Q234" s="166"/>
      <c r="R234" s="165"/>
      <c r="S234" s="165"/>
      <c r="T234" s="159"/>
      <c r="U234" s="160"/>
      <c r="V234" s="165"/>
      <c r="W234" s="165"/>
      <c r="X234" s="160"/>
      <c r="Y234" s="166"/>
      <c r="Z234" s="160"/>
      <c r="AA234" s="160"/>
      <c r="AB234" s="165"/>
      <c r="AC234" s="165"/>
      <c r="AD234" s="165"/>
      <c r="AE234" s="165"/>
      <c r="AF234" s="160"/>
      <c r="AG234" s="160"/>
      <c r="AH234" s="160"/>
      <c r="AI234" s="160"/>
      <c r="AJ234" s="161"/>
      <c r="AK234" s="162"/>
      <c r="AL234" s="165"/>
      <c r="AM234" s="166"/>
      <c r="AN234" s="165"/>
      <c r="AO234" s="160"/>
      <c r="AP234" s="162"/>
      <c r="AQ234" s="161"/>
      <c r="AR234" s="162"/>
      <c r="AS234" s="161"/>
      <c r="AT234" s="165"/>
      <c r="AU234" s="166"/>
      <c r="AV234" s="165"/>
      <c r="AW234" s="166"/>
      <c r="AX234" s="165"/>
      <c r="AY234" s="165"/>
      <c r="AZ234" s="165"/>
      <c r="BA234" s="165"/>
      <c r="BB234" s="166"/>
      <c r="BC234" s="165"/>
      <c r="BD234" s="165"/>
      <c r="BE234" s="165"/>
      <c r="BF234" s="165"/>
      <c r="BG234" s="165"/>
      <c r="BH234" s="165"/>
      <c r="BI234" s="165"/>
      <c r="BJ234" s="166"/>
      <c r="BK234" s="165"/>
      <c r="BL234" s="165"/>
      <c r="BM234" s="163"/>
      <c r="BN234" s="165"/>
      <c r="BO234" s="165"/>
      <c r="BP234" s="165"/>
      <c r="BQ234" s="167"/>
    </row>
    <row r="235" spans="1:270" ht="39.950000000000003" customHeight="1" outlineLevel="1" x14ac:dyDescent="0.3">
      <c r="A235" s="15" t="s">
        <v>279</v>
      </c>
      <c r="B235" s="14" t="s">
        <v>293</v>
      </c>
      <c r="C235" s="9" t="s">
        <v>6</v>
      </c>
      <c r="D235" s="66" t="s">
        <v>294</v>
      </c>
      <c r="E235" s="158">
        <f t="shared" si="42"/>
        <v>4288.2359499999993</v>
      </c>
      <c r="F235" s="159">
        <f t="shared" si="40"/>
        <v>603.15224999999998</v>
      </c>
      <c r="G235" s="160">
        <f t="shared" si="41"/>
        <v>3685.0836999999997</v>
      </c>
      <c r="H235" s="166"/>
      <c r="I235" s="165"/>
      <c r="J235" s="160">
        <v>288</v>
      </c>
      <c r="K235" s="160"/>
      <c r="L235" s="166">
        <v>260.58238999999998</v>
      </c>
      <c r="M235" s="165">
        <v>408.4151</v>
      </c>
      <c r="N235" s="165"/>
      <c r="O235" s="165"/>
      <c r="P235" s="160"/>
      <c r="Q235" s="166"/>
      <c r="R235" s="165"/>
      <c r="S235" s="165"/>
      <c r="T235" s="159"/>
      <c r="U235" s="160"/>
      <c r="V235" s="165"/>
      <c r="W235" s="165"/>
      <c r="X235" s="160"/>
      <c r="Y235" s="166">
        <v>279.10025999999999</v>
      </c>
      <c r="Z235" s="160">
        <v>93.033420000000007</v>
      </c>
      <c r="AA235" s="160">
        <v>1376.7433799999999</v>
      </c>
      <c r="AB235" s="165"/>
      <c r="AC235" s="165"/>
      <c r="AD235" s="165"/>
      <c r="AE235" s="165"/>
      <c r="AF235" s="160"/>
      <c r="AG235" s="160"/>
      <c r="AH235" s="160"/>
      <c r="AI235" s="160"/>
      <c r="AJ235" s="161"/>
      <c r="AK235" s="162"/>
      <c r="AL235" s="165"/>
      <c r="AM235" s="166"/>
      <c r="AN235" s="165"/>
      <c r="AO235" s="160"/>
      <c r="AP235" s="162"/>
      <c r="AQ235" s="161"/>
      <c r="AR235" s="162"/>
      <c r="AS235" s="161"/>
      <c r="AT235" s="165"/>
      <c r="AU235" s="166"/>
      <c r="AV235" s="165"/>
      <c r="AW235" s="166">
        <f>37.63298+25.83662</f>
        <v>63.4696</v>
      </c>
      <c r="AX235" s="165">
        <f>2.77466+1.67772+11.24103+7.71743</f>
        <v>23.41084</v>
      </c>
      <c r="AY235" s="165">
        <v>1265.91841</v>
      </c>
      <c r="AZ235" s="165"/>
      <c r="BA235" s="165"/>
      <c r="BB235" s="166"/>
      <c r="BC235" s="165"/>
      <c r="BD235" s="165"/>
      <c r="BE235" s="165">
        <v>229.56254999999999</v>
      </c>
      <c r="BF235" s="165"/>
      <c r="BG235" s="165"/>
      <c r="BH235" s="165"/>
      <c r="BI235" s="165"/>
      <c r="BJ235" s="166"/>
      <c r="BK235" s="165"/>
      <c r="BL235" s="165"/>
      <c r="BM235" s="163"/>
      <c r="BN235" s="165"/>
      <c r="BO235" s="165"/>
      <c r="BP235" s="165"/>
      <c r="BQ235" s="167"/>
    </row>
    <row r="236" spans="1:270" ht="39.950000000000003" customHeight="1" outlineLevel="1" x14ac:dyDescent="0.3">
      <c r="A236" s="15" t="s">
        <v>279</v>
      </c>
      <c r="B236" s="14" t="s">
        <v>295</v>
      </c>
      <c r="C236" s="9" t="s">
        <v>6</v>
      </c>
      <c r="D236" s="66" t="s">
        <v>296</v>
      </c>
      <c r="E236" s="158">
        <f t="shared" si="42"/>
        <v>3186.7865299999999</v>
      </c>
      <c r="F236" s="159">
        <f t="shared" si="40"/>
        <v>1185.3569399999999</v>
      </c>
      <c r="G236" s="160">
        <f t="shared" si="41"/>
        <v>2001.42959</v>
      </c>
      <c r="H236" s="166"/>
      <c r="I236" s="165"/>
      <c r="J236" s="160"/>
      <c r="K236" s="160"/>
      <c r="L236" s="175">
        <v>1185.3569399999999</v>
      </c>
      <c r="M236" s="165">
        <v>1857.8295900000001</v>
      </c>
      <c r="N236" s="165"/>
      <c r="O236" s="165"/>
      <c r="P236" s="160"/>
      <c r="Q236" s="166"/>
      <c r="R236" s="165"/>
      <c r="S236" s="165"/>
      <c r="T236" s="159"/>
      <c r="U236" s="160"/>
      <c r="V236" s="165"/>
      <c r="W236" s="165"/>
      <c r="X236" s="160"/>
      <c r="Y236" s="166"/>
      <c r="Z236" s="160"/>
      <c r="AA236" s="160"/>
      <c r="AB236" s="165"/>
      <c r="AC236" s="165"/>
      <c r="AD236" s="165"/>
      <c r="AE236" s="165"/>
      <c r="AF236" s="160"/>
      <c r="AG236" s="160"/>
      <c r="AH236" s="160"/>
      <c r="AI236" s="160"/>
      <c r="AJ236" s="161"/>
      <c r="AK236" s="162"/>
      <c r="AL236" s="165"/>
      <c r="AM236" s="166"/>
      <c r="AN236" s="165"/>
      <c r="AO236" s="160"/>
      <c r="AP236" s="162"/>
      <c r="AQ236" s="161"/>
      <c r="AR236" s="162"/>
      <c r="AS236" s="161"/>
      <c r="AT236" s="165"/>
      <c r="AU236" s="166"/>
      <c r="AV236" s="165"/>
      <c r="AW236" s="166"/>
      <c r="AX236" s="165"/>
      <c r="AY236" s="165"/>
      <c r="AZ236" s="165"/>
      <c r="BA236" s="165"/>
      <c r="BB236" s="166"/>
      <c r="BC236" s="165"/>
      <c r="BD236" s="165"/>
      <c r="BE236" s="165"/>
      <c r="BF236" s="165"/>
      <c r="BG236" s="165">
        <v>143.6</v>
      </c>
      <c r="BH236" s="165"/>
      <c r="BI236" s="165"/>
      <c r="BJ236" s="166"/>
      <c r="BK236" s="165"/>
      <c r="BL236" s="165"/>
      <c r="BM236" s="163"/>
      <c r="BN236" s="165"/>
      <c r="BO236" s="165"/>
      <c r="BP236" s="165"/>
      <c r="BQ236" s="167"/>
    </row>
    <row r="237" spans="1:270" s="34" customFormat="1" ht="47.25" customHeight="1" x14ac:dyDescent="0.3">
      <c r="A237" s="118" t="s">
        <v>323</v>
      </c>
      <c r="B237" s="120"/>
      <c r="C237" s="116" t="s">
        <v>80</v>
      </c>
      <c r="D237" s="117"/>
      <c r="E237" s="171">
        <f t="shared" ref="E237:AI237" si="43">SUBTOTAL(9,E195:E236)</f>
        <v>75475.842679999987</v>
      </c>
      <c r="F237" s="171">
        <f t="shared" si="43"/>
        <v>17146.849190000001</v>
      </c>
      <c r="G237" s="171">
        <f t="shared" si="43"/>
        <v>58328.993489999993</v>
      </c>
      <c r="H237" s="171">
        <f t="shared" si="43"/>
        <v>5097.1384200000002</v>
      </c>
      <c r="I237" s="171">
        <f t="shared" si="43"/>
        <v>1699.0461299999999</v>
      </c>
      <c r="J237" s="171">
        <f t="shared" si="43"/>
        <v>288</v>
      </c>
      <c r="K237" s="171">
        <f t="shared" si="43"/>
        <v>0</v>
      </c>
      <c r="L237" s="171">
        <f t="shared" si="43"/>
        <v>7139.5118299999986</v>
      </c>
      <c r="M237" s="171">
        <f t="shared" si="43"/>
        <v>11189.875319999999</v>
      </c>
      <c r="N237" s="171">
        <f t="shared" si="43"/>
        <v>0</v>
      </c>
      <c r="O237" s="171">
        <f>SUBTOTAL(9,O195:O236)</f>
        <v>0</v>
      </c>
      <c r="P237" s="171">
        <f>SUBTOTAL(9,P195:P236)</f>
        <v>0</v>
      </c>
      <c r="Q237" s="171">
        <f t="shared" si="43"/>
        <v>0</v>
      </c>
      <c r="R237" s="171">
        <f t="shared" si="43"/>
        <v>0</v>
      </c>
      <c r="S237" s="171">
        <f t="shared" si="43"/>
        <v>0</v>
      </c>
      <c r="T237" s="171">
        <f>SUBTOTAL(9,T195:T236)</f>
        <v>0</v>
      </c>
      <c r="U237" s="171">
        <f>SUBTOTAL(9,U195:U236)</f>
        <v>0</v>
      </c>
      <c r="V237" s="171">
        <f t="shared" si="43"/>
        <v>0</v>
      </c>
      <c r="W237" s="171">
        <f t="shared" si="43"/>
        <v>0</v>
      </c>
      <c r="X237" s="171">
        <f>SUBTOTAL(9,X195:X236)</f>
        <v>0</v>
      </c>
      <c r="Y237" s="171">
        <f t="shared" si="43"/>
        <v>1956.1969799999999</v>
      </c>
      <c r="Z237" s="171">
        <f t="shared" si="43"/>
        <v>652.06565999999998</v>
      </c>
      <c r="AA237" s="171">
        <f t="shared" si="43"/>
        <v>8328.1500999999989</v>
      </c>
      <c r="AB237" s="171">
        <f t="shared" si="43"/>
        <v>0</v>
      </c>
      <c r="AC237" s="171">
        <f t="shared" si="43"/>
        <v>0</v>
      </c>
      <c r="AD237" s="171">
        <f>SUBTOTAL(9,AD195:AD236)</f>
        <v>0</v>
      </c>
      <c r="AE237" s="171">
        <f t="shared" si="43"/>
        <v>0</v>
      </c>
      <c r="AF237" s="171">
        <f t="shared" si="43"/>
        <v>0</v>
      </c>
      <c r="AG237" s="171">
        <f t="shared" si="43"/>
        <v>0</v>
      </c>
      <c r="AH237" s="171">
        <f t="shared" si="43"/>
        <v>59.210560000000001</v>
      </c>
      <c r="AI237" s="171">
        <f t="shared" si="43"/>
        <v>38.567340000000002</v>
      </c>
      <c r="AJ237" s="171">
        <f t="shared" ref="AJ237:BQ237" si="44">SUBTOTAL(9,AJ195:AJ236)</f>
        <v>5958.3</v>
      </c>
      <c r="AK237" s="171">
        <f t="shared" si="44"/>
        <v>2219.25</v>
      </c>
      <c r="AL237" s="171">
        <f t="shared" si="44"/>
        <v>739.75</v>
      </c>
      <c r="AM237" s="171">
        <f>SUBTOTAL(9,AM195:AM236)</f>
        <v>0</v>
      </c>
      <c r="AN237" s="171">
        <f>SUBTOTAL(9,AN195:AN236)</f>
        <v>0</v>
      </c>
      <c r="AO237" s="171">
        <f>SUBTOTAL(9,AO195:AO236)</f>
        <v>0</v>
      </c>
      <c r="AP237" s="171">
        <f t="shared" si="44"/>
        <v>0</v>
      </c>
      <c r="AQ237" s="171">
        <f t="shared" si="44"/>
        <v>0</v>
      </c>
      <c r="AR237" s="171">
        <f t="shared" si="44"/>
        <v>0</v>
      </c>
      <c r="AS237" s="171">
        <f t="shared" si="44"/>
        <v>0</v>
      </c>
      <c r="AT237" s="171">
        <f>SUBTOTAL(9,AT195:AT236)</f>
        <v>1923.0531999999998</v>
      </c>
      <c r="AU237" s="171">
        <f t="shared" si="44"/>
        <v>0</v>
      </c>
      <c r="AV237" s="171">
        <f t="shared" si="44"/>
        <v>0</v>
      </c>
      <c r="AW237" s="171">
        <f t="shared" si="44"/>
        <v>734.75195999999994</v>
      </c>
      <c r="AX237" s="171">
        <f t="shared" si="44"/>
        <v>272.64192000000003</v>
      </c>
      <c r="AY237" s="171">
        <f t="shared" si="44"/>
        <v>1536.2330400000001</v>
      </c>
      <c r="AZ237" s="171">
        <f t="shared" si="44"/>
        <v>0</v>
      </c>
      <c r="BA237" s="171">
        <f t="shared" si="44"/>
        <v>649.97397999999998</v>
      </c>
      <c r="BB237" s="171">
        <f t="shared" si="44"/>
        <v>0</v>
      </c>
      <c r="BC237" s="171">
        <f t="shared" si="44"/>
        <v>0</v>
      </c>
      <c r="BD237" s="171">
        <f t="shared" si="44"/>
        <v>0</v>
      </c>
      <c r="BE237" s="171">
        <f t="shared" si="44"/>
        <v>4039.5886500000001</v>
      </c>
      <c r="BF237" s="171">
        <f t="shared" si="44"/>
        <v>476.41152999999997</v>
      </c>
      <c r="BG237" s="171">
        <f t="shared" si="44"/>
        <v>3601.4487600000002</v>
      </c>
      <c r="BH237" s="171">
        <f t="shared" si="44"/>
        <v>15191.04</v>
      </c>
      <c r="BI237" s="171">
        <f t="shared" si="44"/>
        <v>0</v>
      </c>
      <c r="BJ237" s="171">
        <f t="shared" si="44"/>
        <v>0</v>
      </c>
      <c r="BK237" s="171">
        <f t="shared" si="44"/>
        <v>0</v>
      </c>
      <c r="BL237" s="171">
        <f t="shared" si="44"/>
        <v>0</v>
      </c>
      <c r="BM237" s="172">
        <f>SUBTOTAL(9,BM195:BM236)</f>
        <v>0</v>
      </c>
      <c r="BN237" s="171">
        <f t="shared" si="44"/>
        <v>0</v>
      </c>
      <c r="BO237" s="171">
        <f t="shared" si="44"/>
        <v>1685.6372999999999</v>
      </c>
      <c r="BP237" s="171">
        <f t="shared" si="44"/>
        <v>0</v>
      </c>
      <c r="BQ237" s="172">
        <f t="shared" si="44"/>
        <v>0</v>
      </c>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c r="DV237" s="40"/>
      <c r="DW237" s="40"/>
      <c r="DX237" s="40"/>
      <c r="DY237" s="40"/>
      <c r="DZ237" s="40"/>
      <c r="EA237" s="40"/>
      <c r="EB237" s="40"/>
      <c r="EC237" s="40"/>
      <c r="ED237" s="40"/>
      <c r="EE237" s="40"/>
      <c r="EF237" s="40"/>
      <c r="EG237" s="40"/>
      <c r="EH237" s="40"/>
      <c r="EI237" s="40"/>
      <c r="EJ237" s="40"/>
      <c r="EK237" s="40"/>
      <c r="EL237" s="40"/>
      <c r="EM237" s="40"/>
      <c r="EN237" s="40"/>
      <c r="EO237" s="40"/>
      <c r="EP237" s="40"/>
      <c r="EQ237" s="40"/>
      <c r="ER237" s="40"/>
      <c r="ES237" s="40"/>
      <c r="ET237" s="40"/>
      <c r="EU237" s="40"/>
      <c r="EV237" s="40"/>
      <c r="EW237" s="40"/>
      <c r="EX237" s="40"/>
      <c r="EY237" s="40"/>
      <c r="EZ237" s="40"/>
      <c r="FA237" s="40"/>
      <c r="FB237" s="40"/>
      <c r="FC237" s="40"/>
      <c r="FD237" s="40"/>
      <c r="FE237" s="40"/>
      <c r="FF237" s="40"/>
      <c r="FG237" s="40"/>
      <c r="FH237" s="40"/>
      <c r="FI237" s="40"/>
      <c r="FJ237" s="40"/>
      <c r="FK237" s="40"/>
      <c r="FL237" s="40"/>
      <c r="FM237" s="40"/>
      <c r="FN237" s="40"/>
      <c r="FO237" s="40"/>
      <c r="FP237" s="40"/>
      <c r="FQ237" s="40"/>
      <c r="FR237" s="40"/>
      <c r="FS237" s="40"/>
      <c r="FT237" s="40"/>
      <c r="FU237" s="40"/>
      <c r="FV237" s="40"/>
      <c r="FW237" s="40"/>
      <c r="FX237" s="40"/>
      <c r="FY237" s="40"/>
      <c r="FZ237" s="40"/>
      <c r="GA237" s="40"/>
      <c r="GB237" s="40"/>
      <c r="GC237" s="40"/>
      <c r="GD237" s="40"/>
      <c r="GE237" s="40"/>
      <c r="GF237" s="40"/>
      <c r="GG237" s="40"/>
      <c r="GH237" s="40"/>
      <c r="GI237" s="40"/>
      <c r="GJ237" s="40"/>
      <c r="GK237" s="40"/>
      <c r="GL237" s="40"/>
      <c r="GM237" s="40"/>
      <c r="GN237" s="40"/>
      <c r="GO237" s="40"/>
      <c r="GP237" s="40"/>
      <c r="GQ237" s="40"/>
      <c r="GR237" s="40"/>
      <c r="GS237" s="40"/>
      <c r="GT237" s="40"/>
      <c r="GU237" s="40"/>
      <c r="GV237" s="40"/>
      <c r="GW237" s="40"/>
      <c r="GX237" s="40"/>
      <c r="GY237" s="40"/>
      <c r="GZ237" s="40"/>
      <c r="HA237" s="40"/>
      <c r="HB237" s="40"/>
      <c r="HC237" s="40"/>
      <c r="HD237" s="40"/>
      <c r="HE237" s="40"/>
      <c r="HF237" s="40"/>
      <c r="HG237" s="40"/>
      <c r="HH237" s="40"/>
      <c r="HI237" s="40"/>
      <c r="HJ237" s="40"/>
      <c r="HK237" s="40"/>
      <c r="HL237" s="40"/>
      <c r="HM237" s="40"/>
      <c r="HN237" s="40"/>
      <c r="HO237" s="40"/>
      <c r="HP237" s="40"/>
      <c r="HQ237" s="40"/>
      <c r="HR237" s="40"/>
      <c r="HS237" s="40"/>
      <c r="HT237" s="40"/>
      <c r="HU237" s="40"/>
      <c r="HV237" s="40"/>
      <c r="HW237" s="40"/>
      <c r="HX237" s="40"/>
      <c r="HY237" s="40"/>
      <c r="HZ237" s="40"/>
      <c r="IA237" s="40"/>
      <c r="IB237" s="40"/>
      <c r="IC237" s="40"/>
      <c r="ID237" s="40"/>
      <c r="IE237" s="40"/>
      <c r="IF237" s="40"/>
      <c r="IG237" s="40"/>
      <c r="IH237" s="40"/>
      <c r="II237" s="40"/>
      <c r="IJ237" s="40"/>
      <c r="IK237" s="40"/>
      <c r="IL237" s="40"/>
      <c r="IM237" s="40"/>
      <c r="IN237" s="40"/>
      <c r="IO237" s="40"/>
      <c r="IP237" s="40"/>
      <c r="IQ237" s="40"/>
      <c r="IR237" s="40"/>
      <c r="IS237" s="40"/>
      <c r="IT237" s="40"/>
      <c r="IU237" s="40"/>
      <c r="IV237" s="40"/>
      <c r="IW237" s="40"/>
      <c r="IX237" s="40"/>
      <c r="IY237" s="40"/>
      <c r="IZ237" s="40"/>
      <c r="JA237" s="40"/>
      <c r="JB237" s="40"/>
      <c r="JC237" s="40"/>
      <c r="JD237" s="40"/>
      <c r="JE237" s="40"/>
      <c r="JF237" s="40"/>
      <c r="JG237" s="40"/>
      <c r="JH237" s="40"/>
      <c r="JI237" s="40"/>
      <c r="JJ237" s="40"/>
    </row>
    <row r="238" spans="1:270" ht="46.5" customHeight="1" outlineLevel="1" x14ac:dyDescent="0.3">
      <c r="A238" s="15" t="s">
        <v>324</v>
      </c>
      <c r="B238" s="14" t="s">
        <v>334</v>
      </c>
      <c r="C238" s="23" t="s">
        <v>30</v>
      </c>
      <c r="D238" s="71">
        <v>241103556480</v>
      </c>
      <c r="E238" s="158">
        <f t="shared" ref="E238:E263" si="45">F238+G238</f>
        <v>607.80903999999998</v>
      </c>
      <c r="F238" s="159">
        <f t="shared" ref="F238:F263" si="46">H238+L238+Q238+Y238+T238+AK238+AP238+AM238+AR238+AU238+AW238+BB238+BJ238</f>
        <v>121.13933</v>
      </c>
      <c r="G238" s="160">
        <f t="shared" ref="G238:G263" si="47">I238+J238+K238+M238+N238+R238+S238+V238+W238+AD238+O238+X238+Z238+AA238+AB238+AC238+AE238+AF238+P238+U238+AG238+AH238+AI238+AO238+AJ238+AL238+AQ238+AN238+AS238+AV238+AX238+AY238+AZ238+BA238+BC238+BD238+BE238+BF238+BG238+BH238+BI238+AT238+BK238+BL238+BN238+BO238+BP238+BQ238+BM238</f>
        <v>486.66971000000001</v>
      </c>
      <c r="H238" s="166"/>
      <c r="I238" s="165"/>
      <c r="J238" s="160"/>
      <c r="K238" s="160"/>
      <c r="L238" s="166">
        <v>42.338329999999999</v>
      </c>
      <c r="M238" s="165">
        <v>66.357560000000007</v>
      </c>
      <c r="N238" s="165"/>
      <c r="O238" s="165"/>
      <c r="P238" s="160"/>
      <c r="Q238" s="166"/>
      <c r="R238" s="165"/>
      <c r="S238" s="165"/>
      <c r="T238" s="159"/>
      <c r="U238" s="160"/>
      <c r="V238" s="165"/>
      <c r="W238" s="165"/>
      <c r="X238" s="160"/>
      <c r="Y238" s="166">
        <v>78.801000000000002</v>
      </c>
      <c r="Z238" s="160">
        <v>26.266999999999999</v>
      </c>
      <c r="AA238" s="160">
        <v>394.04514999999998</v>
      </c>
      <c r="AB238" s="165"/>
      <c r="AC238" s="165"/>
      <c r="AD238" s="165"/>
      <c r="AE238" s="165"/>
      <c r="AF238" s="160"/>
      <c r="AG238" s="160"/>
      <c r="AH238" s="160"/>
      <c r="AI238" s="160"/>
      <c r="AJ238" s="161"/>
      <c r="AK238" s="162"/>
      <c r="AL238" s="161"/>
      <c r="AM238" s="162"/>
      <c r="AN238" s="161"/>
      <c r="AO238" s="160"/>
      <c r="AP238" s="162"/>
      <c r="AQ238" s="161"/>
      <c r="AR238" s="162"/>
      <c r="AS238" s="161"/>
      <c r="AT238" s="165"/>
      <c r="AU238" s="166"/>
      <c r="AV238" s="165"/>
      <c r="AW238" s="166"/>
      <c r="AX238" s="165"/>
      <c r="AY238" s="165"/>
      <c r="AZ238" s="165"/>
      <c r="BA238" s="165"/>
      <c r="BB238" s="166"/>
      <c r="BC238" s="165"/>
      <c r="BD238" s="165"/>
      <c r="BE238" s="165"/>
      <c r="BF238" s="165"/>
      <c r="BG238" s="165"/>
      <c r="BH238" s="165"/>
      <c r="BI238" s="165"/>
      <c r="BJ238" s="166"/>
      <c r="BK238" s="165"/>
      <c r="BL238" s="165"/>
      <c r="BM238" s="163"/>
      <c r="BN238" s="165"/>
      <c r="BO238" s="165"/>
      <c r="BP238" s="165"/>
      <c r="BQ238" s="167"/>
    </row>
    <row r="239" spans="1:270" ht="46.5" customHeight="1" outlineLevel="1" x14ac:dyDescent="0.3">
      <c r="A239" s="15" t="s">
        <v>324</v>
      </c>
      <c r="B239" s="14" t="s">
        <v>333</v>
      </c>
      <c r="C239" s="9" t="s">
        <v>30</v>
      </c>
      <c r="D239" s="68">
        <v>241103472840</v>
      </c>
      <c r="E239" s="158">
        <f t="shared" si="45"/>
        <v>160.61776</v>
      </c>
      <c r="F239" s="159">
        <f t="shared" si="46"/>
        <v>88.602720000000005</v>
      </c>
      <c r="G239" s="160">
        <f t="shared" si="47"/>
        <v>72.015039999999999</v>
      </c>
      <c r="H239" s="166">
        <v>54.176969999999997</v>
      </c>
      <c r="I239" s="165">
        <v>18.059000000000001</v>
      </c>
      <c r="J239" s="160"/>
      <c r="K239" s="160"/>
      <c r="L239" s="166">
        <v>34.425750000000001</v>
      </c>
      <c r="M239" s="165">
        <v>53.956040000000002</v>
      </c>
      <c r="N239" s="165"/>
      <c r="O239" s="165"/>
      <c r="P239" s="160"/>
      <c r="Q239" s="166"/>
      <c r="R239" s="165"/>
      <c r="S239" s="165"/>
      <c r="T239" s="159"/>
      <c r="U239" s="160"/>
      <c r="V239" s="165"/>
      <c r="W239" s="165"/>
      <c r="X239" s="160"/>
      <c r="Y239" s="166"/>
      <c r="Z239" s="160"/>
      <c r="AA239" s="160"/>
      <c r="AB239" s="165"/>
      <c r="AC239" s="165"/>
      <c r="AD239" s="165"/>
      <c r="AE239" s="165"/>
      <c r="AF239" s="160"/>
      <c r="AG239" s="160"/>
      <c r="AH239" s="160"/>
      <c r="AI239" s="160"/>
      <c r="AJ239" s="161"/>
      <c r="AK239" s="162"/>
      <c r="AL239" s="165"/>
      <c r="AM239" s="166"/>
      <c r="AN239" s="165"/>
      <c r="AO239" s="160"/>
      <c r="AP239" s="162"/>
      <c r="AQ239" s="161"/>
      <c r="AR239" s="162"/>
      <c r="AS239" s="161"/>
      <c r="AT239" s="165"/>
      <c r="AU239" s="166"/>
      <c r="AV239" s="165"/>
      <c r="AW239" s="166"/>
      <c r="AX239" s="165"/>
      <c r="AY239" s="165"/>
      <c r="AZ239" s="165"/>
      <c r="BA239" s="165"/>
      <c r="BB239" s="166"/>
      <c r="BC239" s="165"/>
      <c r="BD239" s="165"/>
      <c r="BE239" s="165"/>
      <c r="BF239" s="165"/>
      <c r="BG239" s="165"/>
      <c r="BH239" s="165"/>
      <c r="BI239" s="165"/>
      <c r="BJ239" s="166"/>
      <c r="BK239" s="165"/>
      <c r="BL239" s="165"/>
      <c r="BM239" s="163"/>
      <c r="BN239" s="165"/>
      <c r="BO239" s="165"/>
      <c r="BP239" s="165"/>
      <c r="BQ239" s="167"/>
    </row>
    <row r="240" spans="1:270" ht="46.5" customHeight="1" outlineLevel="1" x14ac:dyDescent="0.3">
      <c r="A240" s="15" t="s">
        <v>324</v>
      </c>
      <c r="B240" s="14" t="s">
        <v>1582</v>
      </c>
      <c r="C240" s="9" t="s">
        <v>30</v>
      </c>
      <c r="D240" s="68">
        <v>246507523507</v>
      </c>
      <c r="E240" s="158">
        <f t="shared" si="45"/>
        <v>2000</v>
      </c>
      <c r="F240" s="159">
        <f t="shared" si="46"/>
        <v>0</v>
      </c>
      <c r="G240" s="160">
        <f t="shared" si="47"/>
        <v>2000</v>
      </c>
      <c r="H240" s="166"/>
      <c r="I240" s="165"/>
      <c r="J240" s="160"/>
      <c r="K240" s="160"/>
      <c r="L240" s="166"/>
      <c r="M240" s="165"/>
      <c r="N240" s="165"/>
      <c r="O240" s="165"/>
      <c r="P240" s="160"/>
      <c r="Q240" s="166"/>
      <c r="R240" s="165"/>
      <c r="S240" s="165"/>
      <c r="T240" s="159"/>
      <c r="U240" s="160"/>
      <c r="V240" s="165"/>
      <c r="W240" s="165"/>
      <c r="X240" s="160"/>
      <c r="Y240" s="166"/>
      <c r="Z240" s="160"/>
      <c r="AA240" s="160"/>
      <c r="AB240" s="165"/>
      <c r="AC240" s="165"/>
      <c r="AD240" s="165"/>
      <c r="AE240" s="165"/>
      <c r="AF240" s="160"/>
      <c r="AG240" s="160"/>
      <c r="AH240" s="160"/>
      <c r="AI240" s="160"/>
      <c r="AJ240" s="161"/>
      <c r="AK240" s="162"/>
      <c r="AL240" s="165"/>
      <c r="AM240" s="166"/>
      <c r="AN240" s="165"/>
      <c r="AO240" s="160">
        <v>2000</v>
      </c>
      <c r="AP240" s="162"/>
      <c r="AQ240" s="161"/>
      <c r="AR240" s="162"/>
      <c r="AS240" s="161"/>
      <c r="AT240" s="165"/>
      <c r="AU240" s="166"/>
      <c r="AV240" s="165"/>
      <c r="AW240" s="166"/>
      <c r="AX240" s="165"/>
      <c r="AY240" s="165"/>
      <c r="AZ240" s="165"/>
      <c r="BA240" s="165"/>
      <c r="BB240" s="166"/>
      <c r="BC240" s="165"/>
      <c r="BD240" s="165"/>
      <c r="BE240" s="165"/>
      <c r="BF240" s="165"/>
      <c r="BG240" s="165"/>
      <c r="BH240" s="165"/>
      <c r="BI240" s="165"/>
      <c r="BJ240" s="166"/>
      <c r="BK240" s="165"/>
      <c r="BL240" s="165"/>
      <c r="BM240" s="163"/>
      <c r="BN240" s="165"/>
      <c r="BO240" s="165"/>
      <c r="BP240" s="165"/>
      <c r="BQ240" s="167"/>
    </row>
    <row r="241" spans="1:69" ht="48.75" customHeight="1" outlineLevel="1" x14ac:dyDescent="0.3">
      <c r="A241" s="15" t="s">
        <v>324</v>
      </c>
      <c r="B241" s="12" t="s">
        <v>1456</v>
      </c>
      <c r="C241" s="9" t="s">
        <v>30</v>
      </c>
      <c r="D241" s="68">
        <v>246602485442</v>
      </c>
      <c r="E241" s="158">
        <f t="shared" si="45"/>
        <v>657.28</v>
      </c>
      <c r="F241" s="159">
        <f t="shared" si="46"/>
        <v>0</v>
      </c>
      <c r="G241" s="160">
        <f t="shared" si="47"/>
        <v>657.28</v>
      </c>
      <c r="H241" s="166"/>
      <c r="I241" s="165"/>
      <c r="J241" s="160"/>
      <c r="K241" s="160"/>
      <c r="L241" s="166"/>
      <c r="M241" s="165"/>
      <c r="N241" s="165"/>
      <c r="O241" s="165"/>
      <c r="P241" s="160"/>
      <c r="Q241" s="166"/>
      <c r="R241" s="165"/>
      <c r="S241" s="165"/>
      <c r="T241" s="159"/>
      <c r="U241" s="160"/>
      <c r="V241" s="165"/>
      <c r="W241" s="165">
        <v>657.28</v>
      </c>
      <c r="X241" s="160"/>
      <c r="Y241" s="166"/>
      <c r="Z241" s="160"/>
      <c r="AA241" s="160"/>
      <c r="AB241" s="165"/>
      <c r="AC241" s="165"/>
      <c r="AD241" s="165"/>
      <c r="AE241" s="165"/>
      <c r="AF241" s="160"/>
      <c r="AG241" s="160"/>
      <c r="AH241" s="160"/>
      <c r="AI241" s="160"/>
      <c r="AJ241" s="161"/>
      <c r="AK241" s="162"/>
      <c r="AL241" s="165"/>
      <c r="AM241" s="166"/>
      <c r="AN241" s="165"/>
      <c r="AO241" s="160"/>
      <c r="AP241" s="162"/>
      <c r="AQ241" s="161"/>
      <c r="AR241" s="162"/>
      <c r="AS241" s="161"/>
      <c r="AT241" s="165"/>
      <c r="AU241" s="166"/>
      <c r="AV241" s="165"/>
      <c r="AW241" s="166"/>
      <c r="AX241" s="165"/>
      <c r="AY241" s="165"/>
      <c r="AZ241" s="165"/>
      <c r="BA241" s="165"/>
      <c r="BB241" s="166"/>
      <c r="BC241" s="165"/>
      <c r="BD241" s="165"/>
      <c r="BE241" s="165"/>
      <c r="BF241" s="165"/>
      <c r="BG241" s="165"/>
      <c r="BH241" s="165"/>
      <c r="BI241" s="165"/>
      <c r="BJ241" s="166"/>
      <c r="BK241" s="165"/>
      <c r="BL241" s="165"/>
      <c r="BM241" s="163"/>
      <c r="BN241" s="165"/>
      <c r="BO241" s="165"/>
      <c r="BP241" s="165"/>
      <c r="BQ241" s="167"/>
    </row>
    <row r="242" spans="1:69" ht="39.950000000000003" customHeight="1" outlineLevel="1" x14ac:dyDescent="0.3">
      <c r="A242" s="15" t="s">
        <v>324</v>
      </c>
      <c r="B242" s="12" t="s">
        <v>1584</v>
      </c>
      <c r="C242" s="9" t="s">
        <v>30</v>
      </c>
      <c r="D242" s="9" t="s">
        <v>1585</v>
      </c>
      <c r="E242" s="158">
        <f>F242+G242</f>
        <v>4819.1400000000003</v>
      </c>
      <c r="F242" s="159">
        <f>H242+L242+Q242+Y242+T242+AK242+AP242+AM242+AR242+AU242+AW242+BB242+BJ242</f>
        <v>0</v>
      </c>
      <c r="G242" s="160">
        <f>I242+J242+K242+M242+N242+R242+S242+V242+W242+AD242+O242+X242+Z242+AA242+AB242+AC242+AE242+AF242+P242+U242+AG242+AH242+AI242+AO242+AJ242+AL242+AQ242+AN242+AS242+AV242+AX242+AY242+AZ242+BA242+BC242+BD242+BE242+BF242+BG242+BH242+BI242+AT242+BK242+BL242+BN242+BO242+BP242+BQ242+BM242</f>
        <v>4819.1400000000003</v>
      </c>
      <c r="H242" s="166"/>
      <c r="I242" s="165"/>
      <c r="J242" s="160"/>
      <c r="K242" s="160"/>
      <c r="L242" s="166"/>
      <c r="M242" s="165"/>
      <c r="N242" s="165"/>
      <c r="O242" s="165"/>
      <c r="P242" s="160"/>
      <c r="Q242" s="166"/>
      <c r="R242" s="165"/>
      <c r="S242" s="165"/>
      <c r="T242" s="159"/>
      <c r="U242" s="160"/>
      <c r="V242" s="165"/>
      <c r="W242" s="165"/>
      <c r="X242" s="160"/>
      <c r="Y242" s="166"/>
      <c r="Z242" s="160"/>
      <c r="AA242" s="160"/>
      <c r="AB242" s="165"/>
      <c r="AC242" s="165"/>
      <c r="AD242" s="165"/>
      <c r="AE242" s="165"/>
      <c r="AF242" s="160"/>
      <c r="AG242" s="160"/>
      <c r="AH242" s="160"/>
      <c r="AI242" s="160"/>
      <c r="AJ242" s="161"/>
      <c r="AK242" s="162"/>
      <c r="AL242" s="165"/>
      <c r="AM242" s="166"/>
      <c r="AN242" s="165"/>
      <c r="AO242" s="160"/>
      <c r="AP242" s="162"/>
      <c r="AQ242" s="161"/>
      <c r="AR242" s="162"/>
      <c r="AS242" s="161"/>
      <c r="AT242" s="165"/>
      <c r="AU242" s="166"/>
      <c r="AV242" s="165"/>
      <c r="AW242" s="166"/>
      <c r="AX242" s="165"/>
      <c r="AY242" s="165"/>
      <c r="AZ242" s="165"/>
      <c r="BA242" s="165"/>
      <c r="BB242" s="166"/>
      <c r="BC242" s="165"/>
      <c r="BD242" s="165"/>
      <c r="BE242" s="165"/>
      <c r="BF242" s="165"/>
      <c r="BG242" s="165"/>
      <c r="BH242" s="165"/>
      <c r="BI242" s="165"/>
      <c r="BJ242" s="166"/>
      <c r="BK242" s="165"/>
      <c r="BL242" s="165"/>
      <c r="BM242" s="163">
        <v>4819.1400000000003</v>
      </c>
      <c r="BN242" s="165"/>
      <c r="BO242" s="165"/>
      <c r="BP242" s="165"/>
      <c r="BQ242" s="167"/>
    </row>
    <row r="243" spans="1:69" ht="47.25" customHeight="1" outlineLevel="1" x14ac:dyDescent="0.3">
      <c r="A243" s="15" t="s">
        <v>324</v>
      </c>
      <c r="B243" s="14" t="s">
        <v>335</v>
      </c>
      <c r="C243" s="23" t="s">
        <v>30</v>
      </c>
      <c r="D243" s="67" t="s">
        <v>336</v>
      </c>
      <c r="E243" s="158">
        <f t="shared" si="45"/>
        <v>2954.8231900000001</v>
      </c>
      <c r="F243" s="159">
        <f t="shared" si="46"/>
        <v>104.81061</v>
      </c>
      <c r="G243" s="160">
        <f t="shared" si="47"/>
        <v>2850.0125800000001</v>
      </c>
      <c r="H243" s="166"/>
      <c r="I243" s="165"/>
      <c r="J243" s="160"/>
      <c r="K243" s="160"/>
      <c r="L243" s="166">
        <v>104.81061</v>
      </c>
      <c r="M243" s="165">
        <v>164.2714</v>
      </c>
      <c r="N243" s="165"/>
      <c r="O243" s="165"/>
      <c r="P243" s="160"/>
      <c r="Q243" s="166"/>
      <c r="R243" s="165"/>
      <c r="S243" s="165"/>
      <c r="T243" s="159"/>
      <c r="U243" s="160"/>
      <c r="V243" s="165"/>
      <c r="W243" s="165"/>
      <c r="X243" s="160"/>
      <c r="Y243" s="166"/>
      <c r="Z243" s="160"/>
      <c r="AA243" s="160"/>
      <c r="AB243" s="165"/>
      <c r="AC243" s="165"/>
      <c r="AD243" s="165"/>
      <c r="AE243" s="165"/>
      <c r="AF243" s="160"/>
      <c r="AG243" s="160"/>
      <c r="AH243" s="160"/>
      <c r="AI243" s="160"/>
      <c r="AJ243" s="161"/>
      <c r="AK243" s="162"/>
      <c r="AL243" s="165"/>
      <c r="AM243" s="166"/>
      <c r="AN243" s="165"/>
      <c r="AO243" s="160"/>
      <c r="AP243" s="162"/>
      <c r="AQ243" s="161"/>
      <c r="AR243" s="162"/>
      <c r="AS243" s="161"/>
      <c r="AT243" s="165"/>
      <c r="AU243" s="166"/>
      <c r="AV243" s="165"/>
      <c r="AW243" s="166"/>
      <c r="AX243" s="165"/>
      <c r="AY243" s="165"/>
      <c r="AZ243" s="165"/>
      <c r="BA243" s="165"/>
      <c r="BB243" s="166"/>
      <c r="BC243" s="165"/>
      <c r="BD243" s="165"/>
      <c r="BE243" s="165">
        <v>2685.74118</v>
      </c>
      <c r="BF243" s="165"/>
      <c r="BG243" s="165"/>
      <c r="BH243" s="165"/>
      <c r="BI243" s="165"/>
      <c r="BJ243" s="166"/>
      <c r="BK243" s="165"/>
      <c r="BL243" s="165"/>
      <c r="BM243" s="163"/>
      <c r="BN243" s="165"/>
      <c r="BO243" s="165"/>
      <c r="BP243" s="165"/>
      <c r="BQ243" s="167"/>
    </row>
    <row r="244" spans="1:69" ht="48.75" customHeight="1" outlineLevel="1" x14ac:dyDescent="0.3">
      <c r="A244" s="15" t="s">
        <v>324</v>
      </c>
      <c r="B244" s="12" t="s">
        <v>341</v>
      </c>
      <c r="C244" s="9" t="s">
        <v>30</v>
      </c>
      <c r="D244" s="68">
        <v>246520067035</v>
      </c>
      <c r="E244" s="158">
        <f t="shared" si="45"/>
        <v>3431.7919599999996</v>
      </c>
      <c r="F244" s="159">
        <f t="shared" si="46"/>
        <v>521.20871</v>
      </c>
      <c r="G244" s="160">
        <f t="shared" si="47"/>
        <v>2910.5832499999997</v>
      </c>
      <c r="H244" s="166">
        <v>300.98320000000001</v>
      </c>
      <c r="I244" s="165">
        <v>100.32773</v>
      </c>
      <c r="J244" s="160">
        <v>168</v>
      </c>
      <c r="K244" s="160"/>
      <c r="L244" s="166">
        <v>82.664709999999999</v>
      </c>
      <c r="M244" s="165">
        <v>129.56175999999999</v>
      </c>
      <c r="N244" s="165"/>
      <c r="O244" s="165"/>
      <c r="P244" s="160"/>
      <c r="Q244" s="166"/>
      <c r="R244" s="165"/>
      <c r="S244" s="165">
        <v>1583.87122</v>
      </c>
      <c r="T244" s="159"/>
      <c r="U244" s="160"/>
      <c r="V244" s="165"/>
      <c r="W244" s="165"/>
      <c r="X244" s="160"/>
      <c r="Y244" s="166">
        <v>137.5608</v>
      </c>
      <c r="Z244" s="160">
        <v>45.8536</v>
      </c>
      <c r="AA244" s="160">
        <v>343.02199999999999</v>
      </c>
      <c r="AB244" s="165"/>
      <c r="AC244" s="165"/>
      <c r="AD244" s="165"/>
      <c r="AE244" s="165"/>
      <c r="AF244" s="160"/>
      <c r="AG244" s="160"/>
      <c r="AH244" s="160"/>
      <c r="AI244" s="160"/>
      <c r="AJ244" s="161"/>
      <c r="AK244" s="162"/>
      <c r="AL244" s="165"/>
      <c r="AM244" s="166"/>
      <c r="AN244" s="165"/>
      <c r="AO244" s="160"/>
      <c r="AP244" s="162"/>
      <c r="AQ244" s="161"/>
      <c r="AR244" s="162"/>
      <c r="AS244" s="161"/>
      <c r="AT244" s="165"/>
      <c r="AU244" s="166"/>
      <c r="AV244" s="165"/>
      <c r="AW244" s="166"/>
      <c r="AX244" s="165"/>
      <c r="AY244" s="165"/>
      <c r="AZ244" s="165"/>
      <c r="BA244" s="165"/>
      <c r="BB244" s="166"/>
      <c r="BC244" s="165"/>
      <c r="BD244" s="165"/>
      <c r="BE244" s="165"/>
      <c r="BF244" s="165">
        <v>539.94694000000004</v>
      </c>
      <c r="BG244" s="165"/>
      <c r="BH244" s="165"/>
      <c r="BI244" s="165"/>
      <c r="BJ244" s="166"/>
      <c r="BK244" s="165"/>
      <c r="BL244" s="165"/>
      <c r="BM244" s="163"/>
      <c r="BN244" s="165"/>
      <c r="BO244" s="165"/>
      <c r="BP244" s="165"/>
      <c r="BQ244" s="167"/>
    </row>
    <row r="245" spans="1:69" ht="50.25" customHeight="1" outlineLevel="1" x14ac:dyDescent="0.3">
      <c r="A245" s="15" t="s">
        <v>324</v>
      </c>
      <c r="B245" s="12" t="s">
        <v>1488</v>
      </c>
      <c r="C245" s="9" t="s">
        <v>30</v>
      </c>
      <c r="D245" s="68">
        <v>241102216379</v>
      </c>
      <c r="E245" s="158">
        <f t="shared" si="45"/>
        <v>6000</v>
      </c>
      <c r="F245" s="159">
        <f t="shared" si="46"/>
        <v>0</v>
      </c>
      <c r="G245" s="160">
        <f t="shared" si="47"/>
        <v>6000</v>
      </c>
      <c r="H245" s="166"/>
      <c r="I245" s="165"/>
      <c r="J245" s="160"/>
      <c r="K245" s="160"/>
      <c r="L245" s="166"/>
      <c r="M245" s="165"/>
      <c r="N245" s="165"/>
      <c r="O245" s="165"/>
      <c r="P245" s="160"/>
      <c r="Q245" s="166"/>
      <c r="R245" s="165"/>
      <c r="S245" s="165"/>
      <c r="T245" s="159"/>
      <c r="U245" s="160"/>
      <c r="V245" s="165"/>
      <c r="W245" s="165"/>
      <c r="X245" s="160"/>
      <c r="Y245" s="166"/>
      <c r="Z245" s="160"/>
      <c r="AA245" s="160"/>
      <c r="AB245" s="165"/>
      <c r="AC245" s="165"/>
      <c r="AD245" s="165"/>
      <c r="AE245" s="165"/>
      <c r="AF245" s="160"/>
      <c r="AG245" s="160"/>
      <c r="AH245" s="160"/>
      <c r="AI245" s="160"/>
      <c r="AJ245" s="161"/>
      <c r="AK245" s="162"/>
      <c r="AL245" s="165"/>
      <c r="AM245" s="166"/>
      <c r="AN245" s="165"/>
      <c r="AO245" s="160"/>
      <c r="AP245" s="162"/>
      <c r="AQ245" s="161"/>
      <c r="AR245" s="162"/>
      <c r="AS245" s="161"/>
      <c r="AT245" s="165"/>
      <c r="AU245" s="166"/>
      <c r="AV245" s="165"/>
      <c r="AW245" s="166"/>
      <c r="AX245" s="165"/>
      <c r="AY245" s="165"/>
      <c r="AZ245" s="165"/>
      <c r="BA245" s="165"/>
      <c r="BB245" s="166"/>
      <c r="BC245" s="165"/>
      <c r="BD245" s="165"/>
      <c r="BE245" s="165"/>
      <c r="BF245" s="165"/>
      <c r="BG245" s="165"/>
      <c r="BH245" s="165">
        <v>6000</v>
      </c>
      <c r="BI245" s="165"/>
      <c r="BJ245" s="166"/>
      <c r="BK245" s="165"/>
      <c r="BL245" s="165"/>
      <c r="BM245" s="163"/>
      <c r="BN245" s="165"/>
      <c r="BO245" s="165"/>
      <c r="BP245" s="165"/>
      <c r="BQ245" s="167"/>
    </row>
    <row r="246" spans="1:69" ht="45.75" customHeight="1" outlineLevel="1" x14ac:dyDescent="0.3">
      <c r="A246" s="15" t="s">
        <v>324</v>
      </c>
      <c r="B246" s="12" t="s">
        <v>1449</v>
      </c>
      <c r="C246" s="9" t="s">
        <v>30</v>
      </c>
      <c r="D246" s="68">
        <v>191002635103</v>
      </c>
      <c r="E246" s="158">
        <f t="shared" si="45"/>
        <v>200.93752000000003</v>
      </c>
      <c r="F246" s="159">
        <f t="shared" si="46"/>
        <v>42.942720000000001</v>
      </c>
      <c r="G246" s="160">
        <f t="shared" si="47"/>
        <v>157.99480000000003</v>
      </c>
      <c r="H246" s="166"/>
      <c r="I246" s="165"/>
      <c r="J246" s="160"/>
      <c r="K246" s="160"/>
      <c r="L246" s="166"/>
      <c r="M246" s="165"/>
      <c r="N246" s="165"/>
      <c r="O246" s="165"/>
      <c r="P246" s="160"/>
      <c r="Q246" s="166"/>
      <c r="R246" s="165"/>
      <c r="S246" s="165"/>
      <c r="T246" s="159"/>
      <c r="U246" s="160"/>
      <c r="V246" s="165"/>
      <c r="W246" s="165"/>
      <c r="X246" s="160"/>
      <c r="Y246" s="166">
        <v>42.942720000000001</v>
      </c>
      <c r="Z246" s="160">
        <v>14.31424</v>
      </c>
      <c r="AA246" s="160">
        <v>143.68056000000001</v>
      </c>
      <c r="AB246" s="165"/>
      <c r="AC246" s="165"/>
      <c r="AD246" s="165"/>
      <c r="AE246" s="165"/>
      <c r="AF246" s="160"/>
      <c r="AG246" s="160"/>
      <c r="AH246" s="160"/>
      <c r="AI246" s="160"/>
      <c r="AJ246" s="161"/>
      <c r="AK246" s="162"/>
      <c r="AL246" s="165"/>
      <c r="AM246" s="166"/>
      <c r="AN246" s="165"/>
      <c r="AO246" s="160"/>
      <c r="AP246" s="162"/>
      <c r="AQ246" s="161"/>
      <c r="AR246" s="162"/>
      <c r="AS246" s="161"/>
      <c r="AT246" s="165"/>
      <c r="AU246" s="166"/>
      <c r="AV246" s="165"/>
      <c r="AW246" s="166"/>
      <c r="AX246" s="165"/>
      <c r="AY246" s="165"/>
      <c r="AZ246" s="165"/>
      <c r="BA246" s="165"/>
      <c r="BB246" s="166"/>
      <c r="BC246" s="165"/>
      <c r="BD246" s="165"/>
      <c r="BE246" s="165"/>
      <c r="BF246" s="165"/>
      <c r="BG246" s="165"/>
      <c r="BH246" s="165"/>
      <c r="BI246" s="165"/>
      <c r="BJ246" s="166"/>
      <c r="BK246" s="165"/>
      <c r="BL246" s="165"/>
      <c r="BM246" s="163"/>
      <c r="BN246" s="165"/>
      <c r="BO246" s="165"/>
      <c r="BP246" s="165"/>
      <c r="BQ246" s="167"/>
    </row>
    <row r="247" spans="1:69" ht="52.5" customHeight="1" outlineLevel="1" x14ac:dyDescent="0.3">
      <c r="A247" s="15" t="s">
        <v>324</v>
      </c>
      <c r="B247" s="12" t="s">
        <v>1370</v>
      </c>
      <c r="C247" s="9" t="s">
        <v>30</v>
      </c>
      <c r="D247" s="66">
        <v>246310003300</v>
      </c>
      <c r="E247" s="158">
        <f t="shared" si="45"/>
        <v>716.67665999999997</v>
      </c>
      <c r="F247" s="159">
        <f t="shared" si="46"/>
        <v>138.54175000000001</v>
      </c>
      <c r="G247" s="160">
        <f t="shared" si="47"/>
        <v>578.13490999999999</v>
      </c>
      <c r="H247" s="166"/>
      <c r="I247" s="165"/>
      <c r="J247" s="160"/>
      <c r="K247" s="160"/>
      <c r="L247" s="166">
        <v>5.2497699999999998</v>
      </c>
      <c r="M247" s="165">
        <v>8.2280499999999996</v>
      </c>
      <c r="N247" s="165"/>
      <c r="O247" s="165"/>
      <c r="P247" s="160"/>
      <c r="Q247" s="166"/>
      <c r="R247" s="165"/>
      <c r="S247" s="165"/>
      <c r="T247" s="159"/>
      <c r="U247" s="160"/>
      <c r="V247" s="165"/>
      <c r="W247" s="165"/>
      <c r="X247" s="160"/>
      <c r="Y247" s="166">
        <v>133.29198</v>
      </c>
      <c r="Z247" s="160">
        <v>44.430660000000003</v>
      </c>
      <c r="AA247" s="160">
        <v>525.47619999999995</v>
      </c>
      <c r="AB247" s="165"/>
      <c r="AC247" s="165"/>
      <c r="AD247" s="165"/>
      <c r="AE247" s="165"/>
      <c r="AF247" s="160"/>
      <c r="AG247" s="160"/>
      <c r="AH247" s="160"/>
      <c r="AI247" s="160"/>
      <c r="AJ247" s="161"/>
      <c r="AK247" s="162"/>
      <c r="AL247" s="165"/>
      <c r="AM247" s="166"/>
      <c r="AN247" s="165"/>
      <c r="AO247" s="160"/>
      <c r="AP247" s="162"/>
      <c r="AQ247" s="161"/>
      <c r="AR247" s="162"/>
      <c r="AS247" s="161"/>
      <c r="AT247" s="165"/>
      <c r="AU247" s="166"/>
      <c r="AV247" s="165"/>
      <c r="AW247" s="166"/>
      <c r="AX247" s="165"/>
      <c r="AY247" s="165"/>
      <c r="AZ247" s="165"/>
      <c r="BA247" s="165"/>
      <c r="BB247" s="166"/>
      <c r="BC247" s="165"/>
      <c r="BD247" s="165"/>
      <c r="BE247" s="165"/>
      <c r="BF247" s="165"/>
      <c r="BG247" s="165"/>
      <c r="BH247" s="165"/>
      <c r="BI247" s="165"/>
      <c r="BJ247" s="166"/>
      <c r="BK247" s="165"/>
      <c r="BL247" s="165"/>
      <c r="BM247" s="163"/>
      <c r="BN247" s="165"/>
      <c r="BO247" s="165"/>
      <c r="BP247" s="165"/>
      <c r="BQ247" s="167"/>
    </row>
    <row r="248" spans="1:69" ht="51" customHeight="1" outlineLevel="1" x14ac:dyDescent="0.3">
      <c r="A248" s="15" t="s">
        <v>1273</v>
      </c>
      <c r="B248" s="12" t="s">
        <v>337</v>
      </c>
      <c r="C248" s="24" t="s">
        <v>30</v>
      </c>
      <c r="D248" s="66">
        <v>246400382814</v>
      </c>
      <c r="E248" s="158">
        <f t="shared" si="45"/>
        <v>66.619599999999991</v>
      </c>
      <c r="F248" s="159">
        <f t="shared" si="46"/>
        <v>39.144179999999999</v>
      </c>
      <c r="G248" s="160">
        <f t="shared" si="47"/>
        <v>27.47542</v>
      </c>
      <c r="H248" s="166">
        <v>27.452490000000001</v>
      </c>
      <c r="I248" s="165">
        <v>9.1508299999999991</v>
      </c>
      <c r="J248" s="160"/>
      <c r="K248" s="160"/>
      <c r="L248" s="166">
        <v>11.691689999999999</v>
      </c>
      <c r="M248" s="165">
        <v>18.324590000000001</v>
      </c>
      <c r="N248" s="165"/>
      <c r="O248" s="165"/>
      <c r="P248" s="160"/>
      <c r="Q248" s="166"/>
      <c r="R248" s="165"/>
      <c r="S248" s="165"/>
      <c r="T248" s="159"/>
      <c r="U248" s="160"/>
      <c r="V248" s="165"/>
      <c r="W248" s="165"/>
      <c r="X248" s="160"/>
      <c r="Y248" s="166"/>
      <c r="Z248" s="160"/>
      <c r="AA248" s="160"/>
      <c r="AB248" s="165"/>
      <c r="AC248" s="165"/>
      <c r="AD248" s="165"/>
      <c r="AE248" s="165"/>
      <c r="AF248" s="160"/>
      <c r="AG248" s="160"/>
      <c r="AH248" s="160"/>
      <c r="AI248" s="160"/>
      <c r="AJ248" s="161"/>
      <c r="AK248" s="162"/>
      <c r="AL248" s="165"/>
      <c r="AM248" s="166"/>
      <c r="AN248" s="165"/>
      <c r="AO248" s="160"/>
      <c r="AP248" s="162"/>
      <c r="AQ248" s="161"/>
      <c r="AR248" s="162"/>
      <c r="AS248" s="161"/>
      <c r="AT248" s="165"/>
      <c r="AU248" s="166"/>
      <c r="AV248" s="165"/>
      <c r="AW248" s="166"/>
      <c r="AX248" s="165"/>
      <c r="AY248" s="165"/>
      <c r="AZ248" s="165"/>
      <c r="BA248" s="165"/>
      <c r="BB248" s="166"/>
      <c r="BC248" s="165"/>
      <c r="BD248" s="165"/>
      <c r="BE248" s="165"/>
      <c r="BF248" s="165"/>
      <c r="BG248" s="165"/>
      <c r="BH248" s="165"/>
      <c r="BI248" s="165"/>
      <c r="BJ248" s="166"/>
      <c r="BK248" s="165"/>
      <c r="BL248" s="165"/>
      <c r="BM248" s="163"/>
      <c r="BN248" s="165"/>
      <c r="BO248" s="165"/>
      <c r="BP248" s="165"/>
      <c r="BQ248" s="167"/>
    </row>
    <row r="249" spans="1:69" ht="48.75" customHeight="1" outlineLevel="1" x14ac:dyDescent="0.3">
      <c r="A249" s="15" t="s">
        <v>324</v>
      </c>
      <c r="B249" s="12" t="s">
        <v>1400</v>
      </c>
      <c r="C249" s="9" t="s">
        <v>30</v>
      </c>
      <c r="D249" s="68">
        <v>246004343138</v>
      </c>
      <c r="E249" s="158">
        <f t="shared" si="45"/>
        <v>3139.7137299999999</v>
      </c>
      <c r="F249" s="159">
        <f t="shared" si="46"/>
        <v>2819.2864</v>
      </c>
      <c r="G249" s="160">
        <f t="shared" si="47"/>
        <v>320.42732999999998</v>
      </c>
      <c r="H249" s="166"/>
      <c r="I249" s="165"/>
      <c r="J249" s="160"/>
      <c r="K249" s="160"/>
      <c r="L249" s="166"/>
      <c r="M249" s="165"/>
      <c r="N249" s="165"/>
      <c r="O249" s="165"/>
      <c r="P249" s="160"/>
      <c r="Q249" s="166"/>
      <c r="R249" s="165"/>
      <c r="S249" s="165"/>
      <c r="T249" s="159"/>
      <c r="U249" s="160"/>
      <c r="V249" s="165"/>
      <c r="W249" s="165"/>
      <c r="X249" s="160"/>
      <c r="Y249" s="166">
        <v>35.7864</v>
      </c>
      <c r="Z249" s="160">
        <v>11.928800000000001</v>
      </c>
      <c r="AA249" s="160">
        <v>161.99852999999999</v>
      </c>
      <c r="AB249" s="165"/>
      <c r="AC249" s="165"/>
      <c r="AD249" s="165"/>
      <c r="AE249" s="165"/>
      <c r="AF249" s="160"/>
      <c r="AG249" s="160"/>
      <c r="AH249" s="160"/>
      <c r="AI249" s="160"/>
      <c r="AJ249" s="161"/>
      <c r="AK249" s="162"/>
      <c r="AL249" s="165"/>
      <c r="AM249" s="166">
        <v>2783.5</v>
      </c>
      <c r="AN249" s="165">
        <v>146.5</v>
      </c>
      <c r="AO249" s="160"/>
      <c r="AP249" s="162"/>
      <c r="AQ249" s="161"/>
      <c r="AR249" s="162"/>
      <c r="AS249" s="161"/>
      <c r="AT249" s="165"/>
      <c r="AU249" s="166"/>
      <c r="AV249" s="165"/>
      <c r="AW249" s="166"/>
      <c r="AX249" s="165"/>
      <c r="AY249" s="165"/>
      <c r="AZ249" s="165"/>
      <c r="BA249" s="165"/>
      <c r="BB249" s="166"/>
      <c r="BC249" s="165"/>
      <c r="BD249" s="165"/>
      <c r="BE249" s="165"/>
      <c r="BF249" s="165"/>
      <c r="BG249" s="165"/>
      <c r="BH249" s="165"/>
      <c r="BI249" s="165"/>
      <c r="BJ249" s="166"/>
      <c r="BK249" s="165"/>
      <c r="BL249" s="165"/>
      <c r="BM249" s="163"/>
      <c r="BN249" s="165"/>
      <c r="BO249" s="165"/>
      <c r="BP249" s="165"/>
      <c r="BQ249" s="167"/>
    </row>
    <row r="250" spans="1:69" ht="48.75" customHeight="1" outlineLevel="1" x14ac:dyDescent="0.3">
      <c r="A250" s="15" t="s">
        <v>324</v>
      </c>
      <c r="B250" s="12" t="s">
        <v>338</v>
      </c>
      <c r="C250" s="22" t="s">
        <v>30</v>
      </c>
      <c r="D250" s="66" t="s">
        <v>339</v>
      </c>
      <c r="E250" s="158">
        <f t="shared" si="45"/>
        <v>369.83000000000004</v>
      </c>
      <c r="F250" s="159">
        <f t="shared" si="46"/>
        <v>144.05313000000001</v>
      </c>
      <c r="G250" s="160">
        <f t="shared" si="47"/>
        <v>225.77687</v>
      </c>
      <c r="H250" s="166"/>
      <c r="I250" s="165"/>
      <c r="J250" s="160"/>
      <c r="K250" s="160"/>
      <c r="L250" s="166">
        <v>144.05313000000001</v>
      </c>
      <c r="M250" s="165">
        <v>225.77687</v>
      </c>
      <c r="N250" s="165"/>
      <c r="O250" s="165"/>
      <c r="P250" s="160"/>
      <c r="Q250" s="166"/>
      <c r="R250" s="165"/>
      <c r="S250" s="165"/>
      <c r="T250" s="159"/>
      <c r="U250" s="160"/>
      <c r="V250" s="165"/>
      <c r="W250" s="165"/>
      <c r="X250" s="160"/>
      <c r="Y250" s="166"/>
      <c r="Z250" s="160"/>
      <c r="AA250" s="160"/>
      <c r="AB250" s="165"/>
      <c r="AC250" s="165"/>
      <c r="AD250" s="165"/>
      <c r="AE250" s="165"/>
      <c r="AF250" s="160"/>
      <c r="AG250" s="160"/>
      <c r="AH250" s="160"/>
      <c r="AI250" s="160"/>
      <c r="AJ250" s="161"/>
      <c r="AK250" s="162"/>
      <c r="AL250" s="165"/>
      <c r="AM250" s="166"/>
      <c r="AN250" s="165"/>
      <c r="AO250" s="160"/>
      <c r="AP250" s="162"/>
      <c r="AQ250" s="161"/>
      <c r="AR250" s="162"/>
      <c r="AS250" s="161"/>
      <c r="AT250" s="165"/>
      <c r="AU250" s="166"/>
      <c r="AV250" s="165"/>
      <c r="AW250" s="166"/>
      <c r="AX250" s="165"/>
      <c r="AY250" s="165"/>
      <c r="AZ250" s="165"/>
      <c r="BA250" s="165"/>
      <c r="BB250" s="166"/>
      <c r="BC250" s="165"/>
      <c r="BD250" s="165"/>
      <c r="BE250" s="165"/>
      <c r="BF250" s="165"/>
      <c r="BG250" s="165"/>
      <c r="BH250" s="165"/>
      <c r="BI250" s="165"/>
      <c r="BJ250" s="166"/>
      <c r="BK250" s="165"/>
      <c r="BL250" s="165"/>
      <c r="BM250" s="163"/>
      <c r="BN250" s="165"/>
      <c r="BO250" s="165"/>
      <c r="BP250" s="165"/>
      <c r="BQ250" s="167"/>
    </row>
    <row r="251" spans="1:69" ht="41.25" customHeight="1" outlineLevel="1" x14ac:dyDescent="0.3">
      <c r="A251" s="15" t="s">
        <v>324</v>
      </c>
      <c r="B251" s="12" t="s">
        <v>1399</v>
      </c>
      <c r="C251" s="9" t="s">
        <v>30</v>
      </c>
      <c r="D251" s="68">
        <v>246527068648</v>
      </c>
      <c r="E251" s="158">
        <f t="shared" si="45"/>
        <v>169.45672999999999</v>
      </c>
      <c r="F251" s="159">
        <f t="shared" si="46"/>
        <v>29.405519999999999</v>
      </c>
      <c r="G251" s="160">
        <f t="shared" si="47"/>
        <v>140.05121</v>
      </c>
      <c r="H251" s="166"/>
      <c r="I251" s="165"/>
      <c r="J251" s="160"/>
      <c r="K251" s="160"/>
      <c r="L251" s="166"/>
      <c r="M251" s="165"/>
      <c r="N251" s="165"/>
      <c r="O251" s="165"/>
      <c r="P251" s="160"/>
      <c r="Q251" s="166"/>
      <c r="R251" s="165"/>
      <c r="S251" s="165"/>
      <c r="T251" s="159"/>
      <c r="U251" s="160"/>
      <c r="V251" s="165"/>
      <c r="W251" s="165"/>
      <c r="X251" s="160"/>
      <c r="Y251" s="166">
        <v>29.405519999999999</v>
      </c>
      <c r="Z251" s="160">
        <v>9.8018400000000003</v>
      </c>
      <c r="AA251" s="160">
        <v>130.24937</v>
      </c>
      <c r="AB251" s="165"/>
      <c r="AC251" s="165"/>
      <c r="AD251" s="165"/>
      <c r="AE251" s="165"/>
      <c r="AF251" s="160"/>
      <c r="AG251" s="160"/>
      <c r="AH251" s="160"/>
      <c r="AI251" s="160"/>
      <c r="AJ251" s="161"/>
      <c r="AK251" s="162"/>
      <c r="AL251" s="165"/>
      <c r="AM251" s="166"/>
      <c r="AN251" s="165"/>
      <c r="AO251" s="160"/>
      <c r="AP251" s="162"/>
      <c r="AQ251" s="161"/>
      <c r="AR251" s="162"/>
      <c r="AS251" s="161"/>
      <c r="AT251" s="165"/>
      <c r="AU251" s="166"/>
      <c r="AV251" s="165"/>
      <c r="AW251" s="166"/>
      <c r="AX251" s="165"/>
      <c r="AY251" s="165"/>
      <c r="AZ251" s="165"/>
      <c r="BA251" s="165"/>
      <c r="BB251" s="166"/>
      <c r="BC251" s="165"/>
      <c r="BD251" s="165"/>
      <c r="BE251" s="165"/>
      <c r="BF251" s="165"/>
      <c r="BG251" s="165"/>
      <c r="BH251" s="165"/>
      <c r="BI251" s="165"/>
      <c r="BJ251" s="166"/>
      <c r="BK251" s="165"/>
      <c r="BL251" s="165"/>
      <c r="BM251" s="163"/>
      <c r="BN251" s="165"/>
      <c r="BO251" s="165"/>
      <c r="BP251" s="165"/>
      <c r="BQ251" s="167"/>
    </row>
    <row r="252" spans="1:69" ht="39" customHeight="1" outlineLevel="1" x14ac:dyDescent="0.3">
      <c r="A252" s="15" t="s">
        <v>324</v>
      </c>
      <c r="B252" s="12" t="s">
        <v>1524</v>
      </c>
      <c r="C252" s="9" t="s">
        <v>30</v>
      </c>
      <c r="D252" s="68">
        <v>171401124267</v>
      </c>
      <c r="E252" s="158">
        <f t="shared" si="45"/>
        <v>448.30099999999999</v>
      </c>
      <c r="F252" s="159">
        <f t="shared" si="46"/>
        <v>0</v>
      </c>
      <c r="G252" s="160">
        <f t="shared" si="47"/>
        <v>448.30099999999999</v>
      </c>
      <c r="H252" s="166"/>
      <c r="I252" s="165"/>
      <c r="J252" s="160"/>
      <c r="K252" s="160"/>
      <c r="L252" s="166"/>
      <c r="M252" s="165"/>
      <c r="N252" s="165"/>
      <c r="O252" s="165"/>
      <c r="P252" s="160"/>
      <c r="Q252" s="166"/>
      <c r="R252" s="165"/>
      <c r="S252" s="165"/>
      <c r="T252" s="159"/>
      <c r="U252" s="160"/>
      <c r="V252" s="165"/>
      <c r="W252" s="165"/>
      <c r="X252" s="160"/>
      <c r="Y252" s="166"/>
      <c r="Z252" s="160"/>
      <c r="AA252" s="160"/>
      <c r="AB252" s="165"/>
      <c r="AC252" s="165"/>
      <c r="AD252" s="165"/>
      <c r="AE252" s="165"/>
      <c r="AF252" s="160"/>
      <c r="AG252" s="160"/>
      <c r="AH252" s="160"/>
      <c r="AI252" s="160"/>
      <c r="AJ252" s="161"/>
      <c r="AK252" s="162"/>
      <c r="AL252" s="165"/>
      <c r="AM252" s="166"/>
      <c r="AN252" s="165"/>
      <c r="AO252" s="160"/>
      <c r="AP252" s="162"/>
      <c r="AQ252" s="161"/>
      <c r="AR252" s="162"/>
      <c r="AS252" s="161"/>
      <c r="AT252" s="165"/>
      <c r="AU252" s="166"/>
      <c r="AV252" s="165"/>
      <c r="AW252" s="166"/>
      <c r="AX252" s="165"/>
      <c r="AY252" s="165"/>
      <c r="AZ252" s="165"/>
      <c r="BA252" s="165"/>
      <c r="BB252" s="166"/>
      <c r="BC252" s="165"/>
      <c r="BD252" s="165"/>
      <c r="BE252" s="165"/>
      <c r="BF252" s="165"/>
      <c r="BG252" s="165"/>
      <c r="BH252" s="165"/>
      <c r="BI252" s="165"/>
      <c r="BJ252" s="166"/>
      <c r="BK252" s="165"/>
      <c r="BL252" s="165"/>
      <c r="BM252" s="163"/>
      <c r="BN252" s="165"/>
      <c r="BO252" s="165">
        <v>448.30099999999999</v>
      </c>
      <c r="BP252" s="165"/>
      <c r="BQ252" s="167"/>
    </row>
    <row r="253" spans="1:69" ht="39" customHeight="1" outlineLevel="1" x14ac:dyDescent="0.3">
      <c r="A253" s="15" t="s">
        <v>324</v>
      </c>
      <c r="B253" s="12" t="s">
        <v>340</v>
      </c>
      <c r="C253" s="22" t="s">
        <v>30</v>
      </c>
      <c r="D253" s="66">
        <v>246500754833</v>
      </c>
      <c r="E253" s="158">
        <f t="shared" si="45"/>
        <v>361.80985999999996</v>
      </c>
      <c r="F253" s="159">
        <f t="shared" si="46"/>
        <v>130.98142999999999</v>
      </c>
      <c r="G253" s="160">
        <f t="shared" si="47"/>
        <v>230.82843</v>
      </c>
      <c r="H253" s="166">
        <v>84.275300000000001</v>
      </c>
      <c r="I253" s="165">
        <v>28.091760000000001</v>
      </c>
      <c r="J253" s="160"/>
      <c r="K253" s="160"/>
      <c r="L253" s="166">
        <v>46.706130000000002</v>
      </c>
      <c r="M253" s="165">
        <v>73.203299999999999</v>
      </c>
      <c r="N253" s="165"/>
      <c r="O253" s="165"/>
      <c r="P253" s="160"/>
      <c r="Q253" s="166"/>
      <c r="R253" s="165"/>
      <c r="S253" s="165"/>
      <c r="T253" s="159"/>
      <c r="U253" s="160"/>
      <c r="V253" s="165"/>
      <c r="W253" s="165"/>
      <c r="X253" s="160"/>
      <c r="Y253" s="166"/>
      <c r="Z253" s="160"/>
      <c r="AA253" s="160">
        <v>129.53336999999999</v>
      </c>
      <c r="AB253" s="165"/>
      <c r="AC253" s="165"/>
      <c r="AD253" s="165"/>
      <c r="AE253" s="165"/>
      <c r="AF253" s="160"/>
      <c r="AG253" s="160"/>
      <c r="AH253" s="160"/>
      <c r="AI253" s="160"/>
      <c r="AJ253" s="161"/>
      <c r="AK253" s="162"/>
      <c r="AL253" s="165"/>
      <c r="AM253" s="166"/>
      <c r="AN253" s="165"/>
      <c r="AO253" s="160"/>
      <c r="AP253" s="162"/>
      <c r="AQ253" s="161"/>
      <c r="AR253" s="162"/>
      <c r="AS253" s="161"/>
      <c r="AT253" s="165"/>
      <c r="AU253" s="166"/>
      <c r="AV253" s="165"/>
      <c r="AW253" s="166"/>
      <c r="AX253" s="165"/>
      <c r="AY253" s="165"/>
      <c r="AZ253" s="165"/>
      <c r="BA253" s="165"/>
      <c r="BB253" s="166"/>
      <c r="BC253" s="165"/>
      <c r="BD253" s="165"/>
      <c r="BE253" s="165"/>
      <c r="BF253" s="165"/>
      <c r="BG253" s="165"/>
      <c r="BH253" s="165"/>
      <c r="BI253" s="165"/>
      <c r="BJ253" s="166"/>
      <c r="BK253" s="165"/>
      <c r="BL253" s="165"/>
      <c r="BM253" s="163"/>
      <c r="BN253" s="165"/>
      <c r="BO253" s="165"/>
      <c r="BP253" s="165"/>
      <c r="BQ253" s="167"/>
    </row>
    <row r="254" spans="1:69" ht="39" customHeight="1" outlineLevel="1" x14ac:dyDescent="0.3">
      <c r="A254" s="15" t="s">
        <v>324</v>
      </c>
      <c r="B254" s="12" t="s">
        <v>328</v>
      </c>
      <c r="C254" s="9" t="s">
        <v>87</v>
      </c>
      <c r="D254" s="66">
        <v>2411018270</v>
      </c>
      <c r="E254" s="158">
        <f t="shared" si="45"/>
        <v>1683.3</v>
      </c>
      <c r="F254" s="159">
        <f t="shared" si="46"/>
        <v>0</v>
      </c>
      <c r="G254" s="160">
        <f t="shared" si="47"/>
        <v>1683.3</v>
      </c>
      <c r="H254" s="166"/>
      <c r="I254" s="165"/>
      <c r="J254" s="160"/>
      <c r="K254" s="160"/>
      <c r="L254" s="166"/>
      <c r="M254" s="165"/>
      <c r="N254" s="165"/>
      <c r="O254" s="165"/>
      <c r="P254" s="160"/>
      <c r="Q254" s="166"/>
      <c r="R254" s="165"/>
      <c r="S254" s="165"/>
      <c r="T254" s="159"/>
      <c r="U254" s="160"/>
      <c r="V254" s="165"/>
      <c r="W254" s="165"/>
      <c r="X254" s="160"/>
      <c r="Y254" s="166"/>
      <c r="Z254" s="160"/>
      <c r="AA254" s="160"/>
      <c r="AB254" s="165"/>
      <c r="AC254" s="165"/>
      <c r="AD254" s="165"/>
      <c r="AE254" s="165"/>
      <c r="AF254" s="160"/>
      <c r="AG254" s="160"/>
      <c r="AH254" s="160"/>
      <c r="AI254" s="160"/>
      <c r="AJ254" s="161"/>
      <c r="AK254" s="162"/>
      <c r="AL254" s="165"/>
      <c r="AM254" s="166"/>
      <c r="AN254" s="165"/>
      <c r="AO254" s="160"/>
      <c r="AP254" s="162"/>
      <c r="AQ254" s="161"/>
      <c r="AR254" s="162"/>
      <c r="AS254" s="161"/>
      <c r="AT254" s="165"/>
      <c r="AU254" s="166"/>
      <c r="AV254" s="165"/>
      <c r="AW254" s="166"/>
      <c r="AX254" s="165"/>
      <c r="AY254" s="165"/>
      <c r="AZ254" s="165"/>
      <c r="BA254" s="165"/>
      <c r="BB254" s="166"/>
      <c r="BC254" s="165"/>
      <c r="BD254" s="165"/>
      <c r="BE254" s="165"/>
      <c r="BF254" s="165"/>
      <c r="BG254" s="165"/>
      <c r="BH254" s="165"/>
      <c r="BI254" s="165">
        <v>1683.3</v>
      </c>
      <c r="BJ254" s="166"/>
      <c r="BK254" s="165"/>
      <c r="BL254" s="165"/>
      <c r="BM254" s="163"/>
      <c r="BN254" s="165"/>
      <c r="BO254" s="165"/>
      <c r="BP254" s="165"/>
      <c r="BQ254" s="167"/>
    </row>
    <row r="255" spans="1:69" ht="39" customHeight="1" outlineLevel="1" x14ac:dyDescent="0.3">
      <c r="A255" s="15" t="s">
        <v>324</v>
      </c>
      <c r="B255" s="12" t="s">
        <v>325</v>
      </c>
      <c r="C255" s="9" t="s">
        <v>6</v>
      </c>
      <c r="D255" s="66">
        <v>2411015254</v>
      </c>
      <c r="E255" s="158">
        <f t="shared" si="45"/>
        <v>43251.22769</v>
      </c>
      <c r="F255" s="159">
        <f t="shared" si="46"/>
        <v>15174.4869</v>
      </c>
      <c r="G255" s="160">
        <f t="shared" si="47"/>
        <v>28076.74079</v>
      </c>
      <c r="H255" s="166"/>
      <c r="I255" s="165"/>
      <c r="J255" s="160"/>
      <c r="K255" s="160"/>
      <c r="L255" s="166">
        <v>53.597520000000003</v>
      </c>
      <c r="M255" s="165">
        <v>84.004270000000005</v>
      </c>
      <c r="N255" s="165"/>
      <c r="O255" s="165"/>
      <c r="P255" s="160"/>
      <c r="Q255" s="166">
        <v>15120.889380000001</v>
      </c>
      <c r="R255" s="165">
        <v>5040.2964599999996</v>
      </c>
      <c r="S255" s="165"/>
      <c r="T255" s="159"/>
      <c r="U255" s="160"/>
      <c r="V255" s="165"/>
      <c r="W255" s="165"/>
      <c r="X255" s="160"/>
      <c r="Y255" s="166"/>
      <c r="Z255" s="160"/>
      <c r="AA255" s="160"/>
      <c r="AB255" s="165"/>
      <c r="AC255" s="165"/>
      <c r="AD255" s="165"/>
      <c r="AE255" s="165">
        <v>3927.23</v>
      </c>
      <c r="AF255" s="160"/>
      <c r="AG255" s="160"/>
      <c r="AH255" s="160"/>
      <c r="AI255" s="160"/>
      <c r="AJ255" s="161"/>
      <c r="AK255" s="162"/>
      <c r="AL255" s="165"/>
      <c r="AM255" s="166"/>
      <c r="AN255" s="165"/>
      <c r="AO255" s="160"/>
      <c r="AP255" s="162"/>
      <c r="AQ255" s="161"/>
      <c r="AR255" s="162"/>
      <c r="AS255" s="161"/>
      <c r="AT255" s="165"/>
      <c r="AU255" s="166"/>
      <c r="AV255" s="165"/>
      <c r="AW255" s="166"/>
      <c r="AX255" s="165"/>
      <c r="AY255" s="165"/>
      <c r="AZ255" s="165"/>
      <c r="BA255" s="165"/>
      <c r="BB255" s="166"/>
      <c r="BC255" s="165"/>
      <c r="BD255" s="165"/>
      <c r="BE255" s="165"/>
      <c r="BF255" s="165"/>
      <c r="BG255" s="165"/>
      <c r="BH255" s="165"/>
      <c r="BI255" s="165">
        <v>18200</v>
      </c>
      <c r="BJ255" s="166"/>
      <c r="BK255" s="165"/>
      <c r="BL255" s="165"/>
      <c r="BM255" s="163"/>
      <c r="BN255" s="165"/>
      <c r="BO255" s="165">
        <v>825.21006</v>
      </c>
      <c r="BP255" s="165"/>
      <c r="BQ255" s="167"/>
    </row>
    <row r="256" spans="1:69" ht="41.25" customHeight="1" outlineLevel="1" x14ac:dyDescent="0.3">
      <c r="A256" s="15" t="s">
        <v>324</v>
      </c>
      <c r="B256" s="12" t="s">
        <v>326</v>
      </c>
      <c r="C256" s="9" t="s">
        <v>6</v>
      </c>
      <c r="D256" s="66">
        <v>2411015247</v>
      </c>
      <c r="E256" s="158">
        <f t="shared" si="45"/>
        <v>65024.736990000005</v>
      </c>
      <c r="F256" s="159">
        <f t="shared" si="46"/>
        <v>4197.9014900000002</v>
      </c>
      <c r="G256" s="160">
        <f t="shared" si="47"/>
        <v>60826.835500000001</v>
      </c>
      <c r="H256" s="166"/>
      <c r="I256" s="165"/>
      <c r="J256" s="160"/>
      <c r="K256" s="160">
        <v>8800</v>
      </c>
      <c r="L256" s="166"/>
      <c r="M256" s="165"/>
      <c r="N256" s="165"/>
      <c r="O256" s="165"/>
      <c r="P256" s="160"/>
      <c r="Q256" s="166">
        <v>4197.9014900000002</v>
      </c>
      <c r="R256" s="165">
        <v>1399.3005000000001</v>
      </c>
      <c r="S256" s="165"/>
      <c r="T256" s="159"/>
      <c r="U256" s="160"/>
      <c r="V256" s="165"/>
      <c r="W256" s="165"/>
      <c r="X256" s="160"/>
      <c r="Y256" s="166"/>
      <c r="Z256" s="160"/>
      <c r="AA256" s="160"/>
      <c r="AB256" s="165"/>
      <c r="AC256" s="165">
        <v>50627.535000000003</v>
      </c>
      <c r="AD256" s="165"/>
      <c r="AE256" s="165"/>
      <c r="AF256" s="160"/>
      <c r="AG256" s="160"/>
      <c r="AH256" s="160"/>
      <c r="AI256" s="160"/>
      <c r="AJ256" s="161"/>
      <c r="AK256" s="162"/>
      <c r="AL256" s="165"/>
      <c r="AM256" s="166"/>
      <c r="AN256" s="165"/>
      <c r="AO256" s="160"/>
      <c r="AP256" s="162"/>
      <c r="AQ256" s="161"/>
      <c r="AR256" s="162"/>
      <c r="AS256" s="161"/>
      <c r="AT256" s="165"/>
      <c r="AU256" s="166"/>
      <c r="AV256" s="165"/>
      <c r="AW256" s="166"/>
      <c r="AX256" s="165"/>
      <c r="AY256" s="165"/>
      <c r="AZ256" s="165"/>
      <c r="BA256" s="165"/>
      <c r="BB256" s="166"/>
      <c r="BC256" s="165"/>
      <c r="BD256" s="165"/>
      <c r="BE256" s="165"/>
      <c r="BF256" s="165"/>
      <c r="BG256" s="165"/>
      <c r="BH256" s="165"/>
      <c r="BI256" s="165"/>
      <c r="BJ256" s="166"/>
      <c r="BK256" s="165"/>
      <c r="BL256" s="165"/>
      <c r="BM256" s="163"/>
      <c r="BN256" s="165"/>
      <c r="BO256" s="165"/>
      <c r="BP256" s="165"/>
      <c r="BQ256" s="167"/>
    </row>
    <row r="257" spans="1:270" ht="39.950000000000003" customHeight="1" outlineLevel="1" x14ac:dyDescent="0.3">
      <c r="A257" s="15" t="s">
        <v>324</v>
      </c>
      <c r="B257" s="12" t="s">
        <v>1323</v>
      </c>
      <c r="C257" s="9" t="s">
        <v>6</v>
      </c>
      <c r="D257" s="66">
        <v>2411028091</v>
      </c>
      <c r="E257" s="158">
        <f t="shared" si="45"/>
        <v>9670.355880000001</v>
      </c>
      <c r="F257" s="159">
        <f t="shared" si="46"/>
        <v>2890.9679000000001</v>
      </c>
      <c r="G257" s="160">
        <f t="shared" si="47"/>
        <v>6779.3879800000004</v>
      </c>
      <c r="H257" s="166">
        <v>2729.8479200000002</v>
      </c>
      <c r="I257" s="165">
        <v>909.94930999999997</v>
      </c>
      <c r="J257" s="160"/>
      <c r="K257" s="160"/>
      <c r="L257" s="166">
        <v>161.11998</v>
      </c>
      <c r="M257" s="165">
        <v>252.52601999999999</v>
      </c>
      <c r="N257" s="165"/>
      <c r="O257" s="165"/>
      <c r="P257" s="160"/>
      <c r="Q257" s="166"/>
      <c r="R257" s="165"/>
      <c r="S257" s="165"/>
      <c r="T257" s="159"/>
      <c r="U257" s="160"/>
      <c r="V257" s="165"/>
      <c r="W257" s="165"/>
      <c r="X257" s="160"/>
      <c r="Y257" s="166"/>
      <c r="Z257" s="160"/>
      <c r="AA257" s="160"/>
      <c r="AB257" s="165"/>
      <c r="AC257" s="165"/>
      <c r="AD257" s="165"/>
      <c r="AE257" s="165"/>
      <c r="AF257" s="160"/>
      <c r="AG257" s="160"/>
      <c r="AH257" s="160"/>
      <c r="AI257" s="160"/>
      <c r="AJ257" s="161"/>
      <c r="AK257" s="162"/>
      <c r="AL257" s="165"/>
      <c r="AM257" s="166"/>
      <c r="AN257" s="165"/>
      <c r="AO257" s="160"/>
      <c r="AP257" s="162"/>
      <c r="AQ257" s="161"/>
      <c r="AR257" s="162"/>
      <c r="AS257" s="161"/>
      <c r="AT257" s="165"/>
      <c r="AU257" s="166"/>
      <c r="AV257" s="165"/>
      <c r="AW257" s="166"/>
      <c r="AX257" s="165"/>
      <c r="AY257" s="165"/>
      <c r="AZ257" s="165"/>
      <c r="BA257" s="165"/>
      <c r="BB257" s="166"/>
      <c r="BC257" s="165"/>
      <c r="BD257" s="165"/>
      <c r="BE257" s="165"/>
      <c r="BF257" s="165">
        <v>5616.9126500000002</v>
      </c>
      <c r="BG257" s="165"/>
      <c r="BH257" s="165"/>
      <c r="BI257" s="165"/>
      <c r="BJ257" s="166"/>
      <c r="BK257" s="165"/>
      <c r="BL257" s="165"/>
      <c r="BM257" s="163"/>
      <c r="BN257" s="165"/>
      <c r="BO257" s="165"/>
      <c r="BP257" s="165"/>
      <c r="BQ257" s="167"/>
    </row>
    <row r="258" spans="1:270" ht="39.950000000000003" customHeight="1" outlineLevel="1" x14ac:dyDescent="0.3">
      <c r="A258" s="15" t="s">
        <v>324</v>
      </c>
      <c r="B258" s="12" t="s">
        <v>327</v>
      </c>
      <c r="C258" s="9" t="s">
        <v>6</v>
      </c>
      <c r="D258" s="66">
        <v>2411012976</v>
      </c>
      <c r="E258" s="158">
        <f t="shared" si="45"/>
        <v>28782.82704</v>
      </c>
      <c r="F258" s="159">
        <f t="shared" si="46"/>
        <v>5084.6368000000002</v>
      </c>
      <c r="G258" s="160">
        <f t="shared" si="47"/>
        <v>23698.19024</v>
      </c>
      <c r="H258" s="166">
        <v>168.5565</v>
      </c>
      <c r="I258" s="165">
        <v>56.185499999999998</v>
      </c>
      <c r="J258" s="160">
        <v>526.79999999999995</v>
      </c>
      <c r="K258" s="160"/>
      <c r="L258" s="166">
        <f>225.16753+1294.93764</f>
        <v>1520.10517</v>
      </c>
      <c r="M258" s="165">
        <f>352.90881+2029.57724</f>
        <v>2382.48605</v>
      </c>
      <c r="N258" s="165"/>
      <c r="O258" s="165"/>
      <c r="P258" s="160"/>
      <c r="Q258" s="166"/>
      <c r="R258" s="165"/>
      <c r="S258" s="165"/>
      <c r="T258" s="159"/>
      <c r="U258" s="160"/>
      <c r="V258" s="165"/>
      <c r="W258" s="165"/>
      <c r="X258" s="160"/>
      <c r="Y258" s="166">
        <v>3395.9751299999998</v>
      </c>
      <c r="Z258" s="160">
        <v>1131.99171</v>
      </c>
      <c r="AA258" s="160">
        <v>13815.548640000001</v>
      </c>
      <c r="AB258" s="165"/>
      <c r="AC258" s="165"/>
      <c r="AD258" s="165"/>
      <c r="AE258" s="165"/>
      <c r="AF258" s="160"/>
      <c r="AG258" s="160"/>
      <c r="AH258" s="160"/>
      <c r="AI258" s="160"/>
      <c r="AJ258" s="161"/>
      <c r="AK258" s="162"/>
      <c r="AL258" s="165"/>
      <c r="AM258" s="166"/>
      <c r="AN258" s="165"/>
      <c r="AO258" s="160"/>
      <c r="AP258" s="162"/>
      <c r="AQ258" s="161"/>
      <c r="AR258" s="162"/>
      <c r="AS258" s="161"/>
      <c r="AT258" s="165"/>
      <c r="AU258" s="166"/>
      <c r="AV258" s="165"/>
      <c r="AW258" s="166"/>
      <c r="AX258" s="165"/>
      <c r="AY258" s="165"/>
      <c r="AZ258" s="165"/>
      <c r="BA258" s="165"/>
      <c r="BB258" s="166"/>
      <c r="BC258" s="165"/>
      <c r="BD258" s="165"/>
      <c r="BE258" s="165">
        <v>1109.3284699999999</v>
      </c>
      <c r="BF258" s="165">
        <v>4433.2583999999997</v>
      </c>
      <c r="BG258" s="165">
        <v>242.59146999999999</v>
      </c>
      <c r="BH258" s="165"/>
      <c r="BI258" s="165"/>
      <c r="BJ258" s="166"/>
      <c r="BK258" s="165"/>
      <c r="BL258" s="165"/>
      <c r="BM258" s="163"/>
      <c r="BN258" s="165"/>
      <c r="BO258" s="165"/>
      <c r="BP258" s="165"/>
      <c r="BQ258" s="167"/>
    </row>
    <row r="259" spans="1:270" ht="39.950000000000003" customHeight="1" outlineLevel="1" x14ac:dyDescent="0.3">
      <c r="A259" s="15" t="s">
        <v>324</v>
      </c>
      <c r="B259" s="12" t="s">
        <v>329</v>
      </c>
      <c r="C259" s="9" t="s">
        <v>6</v>
      </c>
      <c r="D259" s="66">
        <v>2411015455</v>
      </c>
      <c r="E259" s="158">
        <f t="shared" si="45"/>
        <v>2620.1202499999999</v>
      </c>
      <c r="F259" s="159">
        <f t="shared" si="46"/>
        <v>336.39164999999997</v>
      </c>
      <c r="G259" s="160">
        <f t="shared" si="47"/>
        <v>2283.7285999999999</v>
      </c>
      <c r="H259" s="166">
        <v>109.80994</v>
      </c>
      <c r="I259" s="165">
        <v>36.60333</v>
      </c>
      <c r="J259" s="160"/>
      <c r="K259" s="160"/>
      <c r="L259" s="166">
        <v>226.58170999999999</v>
      </c>
      <c r="M259" s="165">
        <v>355.12527</v>
      </c>
      <c r="N259" s="165"/>
      <c r="O259" s="165"/>
      <c r="P259" s="160"/>
      <c r="Q259" s="166"/>
      <c r="R259" s="165"/>
      <c r="S259" s="165"/>
      <c r="T259" s="159"/>
      <c r="U259" s="160"/>
      <c r="V259" s="165"/>
      <c r="W259" s="165"/>
      <c r="X259" s="160"/>
      <c r="Y259" s="166"/>
      <c r="Z259" s="160"/>
      <c r="AA259" s="160"/>
      <c r="AB259" s="165"/>
      <c r="AC259" s="165"/>
      <c r="AD259" s="165"/>
      <c r="AE259" s="165"/>
      <c r="AF259" s="160"/>
      <c r="AG259" s="160"/>
      <c r="AH259" s="160"/>
      <c r="AI259" s="160"/>
      <c r="AJ259" s="161"/>
      <c r="AK259" s="162"/>
      <c r="AL259" s="165"/>
      <c r="AM259" s="166"/>
      <c r="AN259" s="165"/>
      <c r="AO259" s="160"/>
      <c r="AP259" s="162"/>
      <c r="AQ259" s="161"/>
      <c r="AR259" s="162"/>
      <c r="AS259" s="161"/>
      <c r="AT259" s="165"/>
      <c r="AU259" s="166"/>
      <c r="AV259" s="165"/>
      <c r="AW259" s="166"/>
      <c r="AX259" s="165"/>
      <c r="AY259" s="165"/>
      <c r="AZ259" s="165"/>
      <c r="BA259" s="165"/>
      <c r="BB259" s="166"/>
      <c r="BC259" s="165"/>
      <c r="BD259" s="165"/>
      <c r="BE259" s="165"/>
      <c r="BF259" s="165"/>
      <c r="BG259" s="165">
        <v>1892</v>
      </c>
      <c r="BH259" s="165"/>
      <c r="BI259" s="165"/>
      <c r="BJ259" s="166"/>
      <c r="BK259" s="165"/>
      <c r="BL259" s="165"/>
      <c r="BM259" s="163"/>
      <c r="BN259" s="165"/>
      <c r="BO259" s="165"/>
      <c r="BP259" s="165"/>
      <c r="BQ259" s="167"/>
    </row>
    <row r="260" spans="1:270" ht="39.950000000000003" customHeight="1" outlineLevel="1" x14ac:dyDescent="0.3">
      <c r="A260" s="15" t="s">
        <v>324</v>
      </c>
      <c r="B260" s="12" t="s">
        <v>330</v>
      </c>
      <c r="C260" s="9" t="s">
        <v>6</v>
      </c>
      <c r="D260" s="66">
        <v>2411014170</v>
      </c>
      <c r="E260" s="158">
        <f t="shared" si="45"/>
        <v>3937.8958699999998</v>
      </c>
      <c r="F260" s="159">
        <f t="shared" si="46"/>
        <v>445.64780999999999</v>
      </c>
      <c r="G260" s="160">
        <f t="shared" si="47"/>
        <v>3492.2480599999999</v>
      </c>
      <c r="H260" s="166"/>
      <c r="I260" s="165"/>
      <c r="J260" s="160"/>
      <c r="K260" s="160"/>
      <c r="L260" s="166">
        <v>445.64780999999999</v>
      </c>
      <c r="M260" s="165">
        <v>698.47118999999998</v>
      </c>
      <c r="N260" s="165"/>
      <c r="O260" s="165"/>
      <c r="P260" s="160"/>
      <c r="Q260" s="166"/>
      <c r="R260" s="165"/>
      <c r="S260" s="165"/>
      <c r="T260" s="159"/>
      <c r="U260" s="160"/>
      <c r="V260" s="165"/>
      <c r="W260" s="165">
        <v>798.72</v>
      </c>
      <c r="X260" s="160"/>
      <c r="Y260" s="166"/>
      <c r="Z260" s="160"/>
      <c r="AA260" s="160"/>
      <c r="AB260" s="165"/>
      <c r="AC260" s="165"/>
      <c r="AD260" s="165"/>
      <c r="AE260" s="165"/>
      <c r="AF260" s="160"/>
      <c r="AG260" s="160"/>
      <c r="AH260" s="160"/>
      <c r="AI260" s="160"/>
      <c r="AJ260" s="161"/>
      <c r="AK260" s="162"/>
      <c r="AL260" s="165"/>
      <c r="AM260" s="166"/>
      <c r="AN260" s="165"/>
      <c r="AO260" s="160"/>
      <c r="AP260" s="162"/>
      <c r="AQ260" s="161"/>
      <c r="AR260" s="162"/>
      <c r="AS260" s="161"/>
      <c r="AT260" s="165"/>
      <c r="AU260" s="166"/>
      <c r="AV260" s="165"/>
      <c r="AW260" s="166"/>
      <c r="AX260" s="165"/>
      <c r="AY260" s="165"/>
      <c r="AZ260" s="165"/>
      <c r="BA260" s="165"/>
      <c r="BB260" s="166"/>
      <c r="BC260" s="165"/>
      <c r="BD260" s="165"/>
      <c r="BE260" s="165"/>
      <c r="BF260" s="165"/>
      <c r="BG260" s="165">
        <v>1995.0568699999999</v>
      </c>
      <c r="BH260" s="165"/>
      <c r="BI260" s="165"/>
      <c r="BJ260" s="166"/>
      <c r="BK260" s="165"/>
      <c r="BL260" s="165"/>
      <c r="BM260" s="163"/>
      <c r="BN260" s="165"/>
      <c r="BO260" s="165"/>
      <c r="BP260" s="165"/>
      <c r="BQ260" s="167"/>
    </row>
    <row r="261" spans="1:270" ht="39.950000000000003" customHeight="1" outlineLevel="1" x14ac:dyDescent="0.3">
      <c r="A261" s="15" t="s">
        <v>324</v>
      </c>
      <c r="B261" s="12" t="s">
        <v>1353</v>
      </c>
      <c r="C261" s="9" t="s">
        <v>6</v>
      </c>
      <c r="D261" s="66">
        <v>2411020818</v>
      </c>
      <c r="E261" s="158">
        <f t="shared" si="45"/>
        <v>2832.9946199999999</v>
      </c>
      <c r="F261" s="159">
        <f t="shared" si="46"/>
        <v>165.86939000000001</v>
      </c>
      <c r="G261" s="160">
        <f t="shared" si="47"/>
        <v>2667.1252300000001</v>
      </c>
      <c r="H261" s="166">
        <v>77.051699999999997</v>
      </c>
      <c r="I261" s="165">
        <v>25.683900000000001</v>
      </c>
      <c r="J261" s="160"/>
      <c r="K261" s="160"/>
      <c r="L261" s="166">
        <v>88.817689999999999</v>
      </c>
      <c r="M261" s="165">
        <v>139.20544000000001</v>
      </c>
      <c r="N261" s="165"/>
      <c r="O261" s="165"/>
      <c r="P261" s="160"/>
      <c r="Q261" s="166"/>
      <c r="R261" s="165"/>
      <c r="S261" s="165"/>
      <c r="T261" s="159"/>
      <c r="U261" s="160"/>
      <c r="V261" s="165"/>
      <c r="W261" s="165"/>
      <c r="X261" s="160"/>
      <c r="Y261" s="166"/>
      <c r="Z261" s="160"/>
      <c r="AA261" s="160"/>
      <c r="AB261" s="165"/>
      <c r="AC261" s="165"/>
      <c r="AD261" s="165"/>
      <c r="AE261" s="165"/>
      <c r="AF261" s="160"/>
      <c r="AG261" s="160"/>
      <c r="AH261" s="160"/>
      <c r="AI261" s="160"/>
      <c r="AJ261" s="161"/>
      <c r="AK261" s="162"/>
      <c r="AL261" s="165"/>
      <c r="AM261" s="166"/>
      <c r="AN261" s="165"/>
      <c r="AO261" s="160"/>
      <c r="AP261" s="162"/>
      <c r="AQ261" s="161"/>
      <c r="AR261" s="162"/>
      <c r="AS261" s="161"/>
      <c r="AT261" s="165"/>
      <c r="AU261" s="166"/>
      <c r="AV261" s="165"/>
      <c r="AW261" s="166"/>
      <c r="AX261" s="165"/>
      <c r="AY261" s="165"/>
      <c r="AZ261" s="165"/>
      <c r="BA261" s="165"/>
      <c r="BB261" s="166"/>
      <c r="BC261" s="165"/>
      <c r="BD261" s="165"/>
      <c r="BE261" s="165"/>
      <c r="BF261" s="165">
        <v>2502.2358899999999</v>
      </c>
      <c r="BG261" s="165"/>
      <c r="BH261" s="165"/>
      <c r="BI261" s="165"/>
      <c r="BJ261" s="166"/>
      <c r="BK261" s="165"/>
      <c r="BL261" s="165"/>
      <c r="BM261" s="163"/>
      <c r="BN261" s="165"/>
      <c r="BO261" s="165"/>
      <c r="BP261" s="165"/>
      <c r="BQ261" s="167"/>
    </row>
    <row r="262" spans="1:270" ht="39.950000000000003" customHeight="1" outlineLevel="1" x14ac:dyDescent="0.3">
      <c r="A262" s="15" t="s">
        <v>324</v>
      </c>
      <c r="B262" s="12" t="s">
        <v>1434</v>
      </c>
      <c r="C262" s="9" t="s">
        <v>6</v>
      </c>
      <c r="D262" s="66">
        <v>2411027193</v>
      </c>
      <c r="E262" s="158">
        <f t="shared" si="45"/>
        <v>11354.096849999998</v>
      </c>
      <c r="F262" s="159">
        <f t="shared" si="46"/>
        <v>1971.4689000000001</v>
      </c>
      <c r="G262" s="160">
        <f t="shared" si="47"/>
        <v>9382.6279499999982</v>
      </c>
      <c r="H262" s="166">
        <v>1799.51052</v>
      </c>
      <c r="I262" s="165">
        <v>599.83684000000005</v>
      </c>
      <c r="J262" s="160"/>
      <c r="K262" s="160"/>
      <c r="L262" s="166">
        <v>171.95838000000001</v>
      </c>
      <c r="M262" s="165">
        <v>269.51321000000002</v>
      </c>
      <c r="N262" s="165"/>
      <c r="O262" s="165"/>
      <c r="P262" s="160"/>
      <c r="Q262" s="166"/>
      <c r="R262" s="165"/>
      <c r="S262" s="165"/>
      <c r="T262" s="159"/>
      <c r="U262" s="160"/>
      <c r="V262" s="165"/>
      <c r="W262" s="165"/>
      <c r="X262" s="160"/>
      <c r="Y262" s="166"/>
      <c r="Z262" s="160"/>
      <c r="AA262" s="160"/>
      <c r="AB262" s="165"/>
      <c r="AC262" s="165"/>
      <c r="AD262" s="165"/>
      <c r="AE262" s="165"/>
      <c r="AF262" s="160"/>
      <c r="AG262" s="160"/>
      <c r="AH262" s="160"/>
      <c r="AI262" s="160"/>
      <c r="AJ262" s="161"/>
      <c r="AK262" s="162"/>
      <c r="AL262" s="165"/>
      <c r="AM262" s="166"/>
      <c r="AN262" s="165"/>
      <c r="AO262" s="160"/>
      <c r="AP262" s="162"/>
      <c r="AQ262" s="161"/>
      <c r="AR262" s="162"/>
      <c r="AS262" s="161"/>
      <c r="AT262" s="165"/>
      <c r="AU262" s="166"/>
      <c r="AV262" s="165"/>
      <c r="AW262" s="166"/>
      <c r="AX262" s="165"/>
      <c r="AY262" s="165"/>
      <c r="AZ262" s="165"/>
      <c r="BA262" s="165"/>
      <c r="BB262" s="166"/>
      <c r="BC262" s="165"/>
      <c r="BD262" s="165"/>
      <c r="BE262" s="165"/>
      <c r="BF262" s="165">
        <v>8513.2778999999991</v>
      </c>
      <c r="BG262" s="165"/>
      <c r="BH262" s="165"/>
      <c r="BI262" s="165"/>
      <c r="BJ262" s="166"/>
      <c r="BK262" s="165"/>
      <c r="BL262" s="165"/>
      <c r="BM262" s="163"/>
      <c r="BN262" s="165"/>
      <c r="BO262" s="165"/>
      <c r="BP262" s="165"/>
      <c r="BQ262" s="167"/>
    </row>
    <row r="263" spans="1:270" ht="39.950000000000003" customHeight="1" outlineLevel="1" x14ac:dyDescent="0.3">
      <c r="A263" s="15" t="s">
        <v>324</v>
      </c>
      <c r="B263" s="12" t="s">
        <v>331</v>
      </c>
      <c r="C263" s="9" t="s">
        <v>6</v>
      </c>
      <c r="D263" s="66" t="s">
        <v>332</v>
      </c>
      <c r="E263" s="158">
        <f t="shared" si="45"/>
        <v>3228.0569700000001</v>
      </c>
      <c r="F263" s="159">
        <f t="shared" si="46"/>
        <v>1811.6607300000001</v>
      </c>
      <c r="G263" s="160">
        <f t="shared" si="47"/>
        <v>1416.39624</v>
      </c>
      <c r="H263" s="166">
        <v>343.15609000000001</v>
      </c>
      <c r="I263" s="165">
        <v>114.38536000000001</v>
      </c>
      <c r="J263" s="160"/>
      <c r="K263" s="160"/>
      <c r="L263" s="166">
        <v>295.1456</v>
      </c>
      <c r="M263" s="165">
        <v>462.58659999999998</v>
      </c>
      <c r="N263" s="165"/>
      <c r="O263" s="165"/>
      <c r="P263" s="160"/>
      <c r="Q263" s="166">
        <v>1173.35904</v>
      </c>
      <c r="R263" s="165">
        <v>391.11968000000002</v>
      </c>
      <c r="S263" s="165"/>
      <c r="T263" s="159"/>
      <c r="U263" s="160"/>
      <c r="V263" s="165"/>
      <c r="W263" s="165"/>
      <c r="X263" s="160"/>
      <c r="Y263" s="166"/>
      <c r="Z263" s="160"/>
      <c r="AA263" s="160"/>
      <c r="AB263" s="165"/>
      <c r="AC263" s="165"/>
      <c r="AD263" s="165"/>
      <c r="AE263" s="165"/>
      <c r="AF263" s="160"/>
      <c r="AG263" s="160"/>
      <c r="AH263" s="160"/>
      <c r="AI263" s="160"/>
      <c r="AJ263" s="161"/>
      <c r="AK263" s="162"/>
      <c r="AL263" s="165"/>
      <c r="AM263" s="166"/>
      <c r="AN263" s="165"/>
      <c r="AO263" s="160"/>
      <c r="AP263" s="162"/>
      <c r="AQ263" s="161"/>
      <c r="AR263" s="162"/>
      <c r="AS263" s="161"/>
      <c r="AT263" s="165"/>
      <c r="AU263" s="166"/>
      <c r="AV263" s="165"/>
      <c r="AW263" s="166"/>
      <c r="AX263" s="165"/>
      <c r="AY263" s="165"/>
      <c r="AZ263" s="165"/>
      <c r="BA263" s="165"/>
      <c r="BB263" s="166"/>
      <c r="BC263" s="165"/>
      <c r="BD263" s="165"/>
      <c r="BE263" s="165"/>
      <c r="BF263" s="165"/>
      <c r="BG263" s="165"/>
      <c r="BH263" s="165"/>
      <c r="BI263" s="165"/>
      <c r="BJ263" s="166"/>
      <c r="BK263" s="165"/>
      <c r="BL263" s="165"/>
      <c r="BM263" s="163"/>
      <c r="BN263" s="165"/>
      <c r="BO263" s="165">
        <v>448.30459999999999</v>
      </c>
      <c r="BP263" s="165"/>
      <c r="BQ263" s="167"/>
    </row>
    <row r="264" spans="1:270" s="34" customFormat="1" ht="39.950000000000003" customHeight="1" x14ac:dyDescent="0.3">
      <c r="A264" s="118" t="s">
        <v>342</v>
      </c>
      <c r="B264" s="115"/>
      <c r="C264" s="116" t="s">
        <v>80</v>
      </c>
      <c r="D264" s="117"/>
      <c r="E264" s="173">
        <f t="shared" ref="E264:AI264" si="48">SUBTOTAL(9,E238:E263)</f>
        <v>198490.41921000005</v>
      </c>
      <c r="F264" s="173">
        <f t="shared" si="48"/>
        <v>36259.148070000003</v>
      </c>
      <c r="G264" s="173">
        <f t="shared" si="48"/>
        <v>162231.27114000003</v>
      </c>
      <c r="H264" s="173">
        <f t="shared" si="48"/>
        <v>5694.8206300000011</v>
      </c>
      <c r="I264" s="173">
        <f t="shared" si="48"/>
        <v>1898.2735599999999</v>
      </c>
      <c r="J264" s="173">
        <f t="shared" si="48"/>
        <v>694.8</v>
      </c>
      <c r="K264" s="173">
        <f t="shared" si="48"/>
        <v>8800</v>
      </c>
      <c r="L264" s="173">
        <f t="shared" si="48"/>
        <v>3434.9139799999994</v>
      </c>
      <c r="M264" s="173">
        <f t="shared" si="48"/>
        <v>5383.5976199999996</v>
      </c>
      <c r="N264" s="173">
        <f t="shared" si="48"/>
        <v>0</v>
      </c>
      <c r="O264" s="173">
        <f>SUBTOTAL(9,O238:O263)</f>
        <v>0</v>
      </c>
      <c r="P264" s="173">
        <f>SUBTOTAL(9,P238:P263)</f>
        <v>0</v>
      </c>
      <c r="Q264" s="173">
        <f t="shared" si="48"/>
        <v>20492.14991</v>
      </c>
      <c r="R264" s="173">
        <f t="shared" si="48"/>
        <v>6830.7166399999996</v>
      </c>
      <c r="S264" s="173">
        <f t="shared" si="48"/>
        <v>1583.87122</v>
      </c>
      <c r="T264" s="173">
        <f>SUBTOTAL(9,T238:T263)</f>
        <v>0</v>
      </c>
      <c r="U264" s="173">
        <f>SUBTOTAL(9,U238:U263)</f>
        <v>0</v>
      </c>
      <c r="V264" s="173">
        <f t="shared" si="48"/>
        <v>0</v>
      </c>
      <c r="W264" s="173">
        <f t="shared" si="48"/>
        <v>1456</v>
      </c>
      <c r="X264" s="173">
        <f>SUBTOTAL(9,X238:X263)</f>
        <v>0</v>
      </c>
      <c r="Y264" s="173">
        <f t="shared" si="48"/>
        <v>3853.7635499999997</v>
      </c>
      <c r="Z264" s="173">
        <f t="shared" si="48"/>
        <v>1284.5878499999999</v>
      </c>
      <c r="AA264" s="173">
        <f t="shared" si="48"/>
        <v>15643.553820000001</v>
      </c>
      <c r="AB264" s="173">
        <f t="shared" si="48"/>
        <v>0</v>
      </c>
      <c r="AC264" s="173">
        <f t="shared" si="48"/>
        <v>50627.535000000003</v>
      </c>
      <c r="AD264" s="173">
        <f>SUBTOTAL(9,AD238:AD263)</f>
        <v>0</v>
      </c>
      <c r="AE264" s="173">
        <f t="shared" si="48"/>
        <v>3927.23</v>
      </c>
      <c r="AF264" s="173">
        <f t="shared" si="48"/>
        <v>0</v>
      </c>
      <c r="AG264" s="173">
        <f t="shared" si="48"/>
        <v>0</v>
      </c>
      <c r="AH264" s="173">
        <f t="shared" si="48"/>
        <v>0</v>
      </c>
      <c r="AI264" s="173">
        <f t="shared" si="48"/>
        <v>0</v>
      </c>
      <c r="AJ264" s="173">
        <f t="shared" ref="AJ264:BQ264" si="49">SUBTOTAL(9,AJ238:AJ263)</f>
        <v>0</v>
      </c>
      <c r="AK264" s="173">
        <f t="shared" si="49"/>
        <v>0</v>
      </c>
      <c r="AL264" s="173">
        <f t="shared" si="49"/>
        <v>0</v>
      </c>
      <c r="AM264" s="173">
        <f>SUBTOTAL(9,AM238:AM263)</f>
        <v>2783.5</v>
      </c>
      <c r="AN264" s="173">
        <f>SUBTOTAL(9,AN238:AN263)</f>
        <v>146.5</v>
      </c>
      <c r="AO264" s="173">
        <f>SUBTOTAL(9,AO238:AO263)</f>
        <v>2000</v>
      </c>
      <c r="AP264" s="173">
        <f t="shared" si="49"/>
        <v>0</v>
      </c>
      <c r="AQ264" s="173">
        <f t="shared" si="49"/>
        <v>0</v>
      </c>
      <c r="AR264" s="173">
        <f t="shared" si="49"/>
        <v>0</v>
      </c>
      <c r="AS264" s="173">
        <f t="shared" si="49"/>
        <v>0</v>
      </c>
      <c r="AT264" s="173">
        <f>SUBTOTAL(9,AT238:AT263)</f>
        <v>0</v>
      </c>
      <c r="AU264" s="173">
        <f t="shared" si="49"/>
        <v>0</v>
      </c>
      <c r="AV264" s="173">
        <f t="shared" si="49"/>
        <v>0</v>
      </c>
      <c r="AW264" s="173">
        <f t="shared" si="49"/>
        <v>0</v>
      </c>
      <c r="AX264" s="173">
        <f t="shared" si="49"/>
        <v>0</v>
      </c>
      <c r="AY264" s="173">
        <f t="shared" si="49"/>
        <v>0</v>
      </c>
      <c r="AZ264" s="173">
        <f t="shared" si="49"/>
        <v>0</v>
      </c>
      <c r="BA264" s="173">
        <f t="shared" si="49"/>
        <v>0</v>
      </c>
      <c r="BB264" s="173">
        <f t="shared" si="49"/>
        <v>0</v>
      </c>
      <c r="BC264" s="173">
        <f t="shared" si="49"/>
        <v>0</v>
      </c>
      <c r="BD264" s="173">
        <f t="shared" si="49"/>
        <v>0</v>
      </c>
      <c r="BE264" s="173">
        <f t="shared" si="49"/>
        <v>3795.0696499999999</v>
      </c>
      <c r="BF264" s="173">
        <f t="shared" si="49"/>
        <v>21605.631779999996</v>
      </c>
      <c r="BG264" s="173">
        <f t="shared" si="49"/>
        <v>4129.6483399999997</v>
      </c>
      <c r="BH264" s="173">
        <f t="shared" si="49"/>
        <v>6000</v>
      </c>
      <c r="BI264" s="173">
        <f t="shared" si="49"/>
        <v>19883.3</v>
      </c>
      <c r="BJ264" s="173">
        <f t="shared" si="49"/>
        <v>0</v>
      </c>
      <c r="BK264" s="173">
        <f t="shared" si="49"/>
        <v>0</v>
      </c>
      <c r="BL264" s="173">
        <f t="shared" si="49"/>
        <v>0</v>
      </c>
      <c r="BM264" s="174">
        <f>SUBTOTAL(9,BM238:BM263)</f>
        <v>4819.1400000000003</v>
      </c>
      <c r="BN264" s="173">
        <f t="shared" si="49"/>
        <v>0</v>
      </c>
      <c r="BO264" s="173">
        <f t="shared" si="49"/>
        <v>1721.81566</v>
      </c>
      <c r="BP264" s="173">
        <f t="shared" si="49"/>
        <v>0</v>
      </c>
      <c r="BQ264" s="174">
        <f t="shared" si="49"/>
        <v>0</v>
      </c>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c r="DV264" s="40"/>
      <c r="DW264" s="40"/>
      <c r="DX264" s="40"/>
      <c r="DY264" s="40"/>
      <c r="DZ264" s="40"/>
      <c r="EA264" s="40"/>
      <c r="EB264" s="40"/>
      <c r="EC264" s="40"/>
      <c r="ED264" s="40"/>
      <c r="EE264" s="40"/>
      <c r="EF264" s="40"/>
      <c r="EG264" s="40"/>
      <c r="EH264" s="40"/>
      <c r="EI264" s="40"/>
      <c r="EJ264" s="40"/>
      <c r="EK264" s="40"/>
      <c r="EL264" s="40"/>
      <c r="EM264" s="40"/>
      <c r="EN264" s="40"/>
      <c r="EO264" s="40"/>
      <c r="EP264" s="40"/>
      <c r="EQ264" s="40"/>
      <c r="ER264" s="40"/>
      <c r="ES264" s="40"/>
      <c r="ET264" s="40"/>
      <c r="EU264" s="40"/>
      <c r="EV264" s="40"/>
      <c r="EW264" s="40"/>
      <c r="EX264" s="40"/>
      <c r="EY264" s="40"/>
      <c r="EZ264" s="40"/>
      <c r="FA264" s="40"/>
      <c r="FB264" s="40"/>
      <c r="FC264" s="40"/>
      <c r="FD264" s="40"/>
      <c r="FE264" s="40"/>
      <c r="FF264" s="40"/>
      <c r="FG264" s="40"/>
      <c r="FH264" s="40"/>
      <c r="FI264" s="40"/>
      <c r="FJ264" s="40"/>
      <c r="FK264" s="40"/>
      <c r="FL264" s="40"/>
      <c r="FM264" s="40"/>
      <c r="FN264" s="40"/>
      <c r="FO264" s="40"/>
      <c r="FP264" s="40"/>
      <c r="FQ264" s="40"/>
      <c r="FR264" s="40"/>
      <c r="FS264" s="40"/>
      <c r="FT264" s="40"/>
      <c r="FU264" s="40"/>
      <c r="FV264" s="40"/>
      <c r="FW264" s="40"/>
      <c r="FX264" s="40"/>
      <c r="FY264" s="40"/>
      <c r="FZ264" s="40"/>
      <c r="GA264" s="40"/>
      <c r="GB264" s="40"/>
      <c r="GC264" s="40"/>
      <c r="GD264" s="40"/>
      <c r="GE264" s="40"/>
      <c r="GF264" s="40"/>
      <c r="GG264" s="40"/>
      <c r="GH264" s="40"/>
      <c r="GI264" s="40"/>
      <c r="GJ264" s="40"/>
      <c r="GK264" s="40"/>
      <c r="GL264" s="40"/>
      <c r="GM264" s="40"/>
      <c r="GN264" s="40"/>
      <c r="GO264" s="40"/>
      <c r="GP264" s="40"/>
      <c r="GQ264" s="40"/>
      <c r="GR264" s="40"/>
      <c r="GS264" s="40"/>
      <c r="GT264" s="40"/>
      <c r="GU264" s="40"/>
      <c r="GV264" s="40"/>
      <c r="GW264" s="40"/>
      <c r="GX264" s="40"/>
      <c r="GY264" s="40"/>
      <c r="GZ264" s="40"/>
      <c r="HA264" s="40"/>
      <c r="HB264" s="40"/>
      <c r="HC264" s="40"/>
      <c r="HD264" s="40"/>
      <c r="HE264" s="40"/>
      <c r="HF264" s="40"/>
      <c r="HG264" s="40"/>
      <c r="HH264" s="40"/>
      <c r="HI264" s="40"/>
      <c r="HJ264" s="40"/>
      <c r="HK264" s="40"/>
      <c r="HL264" s="40"/>
      <c r="HM264" s="40"/>
      <c r="HN264" s="40"/>
      <c r="HO264" s="40"/>
      <c r="HP264" s="40"/>
      <c r="HQ264" s="40"/>
      <c r="HR264" s="40"/>
      <c r="HS264" s="40"/>
      <c r="HT264" s="40"/>
      <c r="HU264" s="40"/>
      <c r="HV264" s="40"/>
      <c r="HW264" s="40"/>
      <c r="HX264" s="40"/>
      <c r="HY264" s="40"/>
      <c r="HZ264" s="40"/>
      <c r="IA264" s="40"/>
      <c r="IB264" s="40"/>
      <c r="IC264" s="40"/>
      <c r="ID264" s="40"/>
      <c r="IE264" s="40"/>
      <c r="IF264" s="40"/>
      <c r="IG264" s="40"/>
      <c r="IH264" s="40"/>
      <c r="II264" s="40"/>
      <c r="IJ264" s="40"/>
      <c r="IK264" s="40"/>
      <c r="IL264" s="40"/>
      <c r="IM264" s="40"/>
      <c r="IN264" s="40"/>
      <c r="IO264" s="40"/>
      <c r="IP264" s="40"/>
      <c r="IQ264" s="40"/>
      <c r="IR264" s="40"/>
      <c r="IS264" s="40"/>
      <c r="IT264" s="40"/>
      <c r="IU264" s="40"/>
      <c r="IV264" s="40"/>
      <c r="IW264" s="40"/>
      <c r="IX264" s="40"/>
      <c r="IY264" s="40"/>
      <c r="IZ264" s="40"/>
      <c r="JA264" s="40"/>
      <c r="JB264" s="40"/>
      <c r="JC264" s="40"/>
      <c r="JD264" s="40"/>
      <c r="JE264" s="40"/>
      <c r="JF264" s="40"/>
      <c r="JG264" s="40"/>
      <c r="JH264" s="40"/>
      <c r="JI264" s="40"/>
      <c r="JJ264" s="40"/>
    </row>
    <row r="265" spans="1:270" ht="39.950000000000003" customHeight="1" outlineLevel="1" x14ac:dyDescent="0.3">
      <c r="A265" s="15" t="s">
        <v>343</v>
      </c>
      <c r="B265" s="12" t="s">
        <v>1321</v>
      </c>
      <c r="C265" s="9" t="s">
        <v>30</v>
      </c>
      <c r="D265" s="66">
        <v>244705267795</v>
      </c>
      <c r="E265" s="158">
        <f t="shared" ref="E265:E268" si="50">F265+G265</f>
        <v>499.59913</v>
      </c>
      <c r="F265" s="159">
        <f>H265+L265+Q265+Y265+T265+AK265+AP265+AM265+AR265+AU265+AW265+BB265+BJ265</f>
        <v>205.62110000000001</v>
      </c>
      <c r="G265" s="160">
        <f>I265+J265+K265+M265+N265+R265+S265+V265+W265+AD265+O265+X265+Z265+AA265+AB265+AC265+AE265+AF265+P265+U265+AG265+AH265+AI265+AO265+AJ265+AL265+AQ265+AN265+AS265+AV265+AX265+AY265+AZ265+BA265+BC265+BD265+BE265+BF265+BG265+BH265+BI265+AT265+BK265+BL265+BN265+BO265+BP265+BQ265+BM265</f>
        <v>293.97802999999999</v>
      </c>
      <c r="H265" s="166">
        <v>184.7475</v>
      </c>
      <c r="I265" s="165">
        <v>61.582500000000003</v>
      </c>
      <c r="J265" s="160"/>
      <c r="K265" s="160"/>
      <c r="L265" s="166">
        <v>20.8736</v>
      </c>
      <c r="M265" s="165">
        <v>32.715530000000001</v>
      </c>
      <c r="N265" s="165"/>
      <c r="O265" s="165"/>
      <c r="P265" s="160"/>
      <c r="Q265" s="166"/>
      <c r="R265" s="165"/>
      <c r="S265" s="165"/>
      <c r="T265" s="159"/>
      <c r="U265" s="160"/>
      <c r="V265" s="165"/>
      <c r="W265" s="165">
        <v>199.68</v>
      </c>
      <c r="X265" s="160"/>
      <c r="Y265" s="166"/>
      <c r="Z265" s="160"/>
      <c r="AA265" s="160"/>
      <c r="AB265" s="165"/>
      <c r="AC265" s="165"/>
      <c r="AD265" s="165"/>
      <c r="AE265" s="165"/>
      <c r="AF265" s="160"/>
      <c r="AG265" s="160"/>
      <c r="AH265" s="160"/>
      <c r="AI265" s="160"/>
      <c r="AJ265" s="161"/>
      <c r="AK265" s="162"/>
      <c r="AL265" s="165"/>
      <c r="AM265" s="166"/>
      <c r="AN265" s="165"/>
      <c r="AO265" s="160"/>
      <c r="AP265" s="162"/>
      <c r="AQ265" s="161"/>
      <c r="AR265" s="162"/>
      <c r="AS265" s="161"/>
      <c r="AT265" s="165"/>
      <c r="AU265" s="166"/>
      <c r="AV265" s="165"/>
      <c r="AW265" s="166"/>
      <c r="AX265" s="165"/>
      <c r="AY265" s="165"/>
      <c r="AZ265" s="165"/>
      <c r="BA265" s="165"/>
      <c r="BB265" s="166"/>
      <c r="BC265" s="165"/>
      <c r="BD265" s="165"/>
      <c r="BE265" s="165"/>
      <c r="BF265" s="165"/>
      <c r="BG265" s="165"/>
      <c r="BH265" s="165"/>
      <c r="BI265" s="165"/>
      <c r="BJ265" s="166"/>
      <c r="BK265" s="165"/>
      <c r="BL265" s="165"/>
      <c r="BM265" s="163"/>
      <c r="BN265" s="165"/>
      <c r="BO265" s="165"/>
      <c r="BP265" s="165"/>
      <c r="BQ265" s="167"/>
    </row>
    <row r="266" spans="1:270" ht="39.950000000000003" customHeight="1" outlineLevel="1" x14ac:dyDescent="0.3">
      <c r="A266" s="15" t="s">
        <v>343</v>
      </c>
      <c r="B266" s="12" t="s">
        <v>350</v>
      </c>
      <c r="C266" s="9" t="s">
        <v>73</v>
      </c>
      <c r="D266" s="66" t="s">
        <v>351</v>
      </c>
      <c r="E266" s="158">
        <f t="shared" si="50"/>
        <v>118.75709999999999</v>
      </c>
      <c r="F266" s="159">
        <f>H266+L266+Q266+Y266+T266+AK266+AP266+AM266+AR266+AU266+AW266+BB266+BJ266</f>
        <v>0</v>
      </c>
      <c r="G266" s="160">
        <f>I266+J266+K266+M266+N266+R266+S266+V266+W266+AD266+O266+X266+Z266+AA266+AB266+AC266+AE266+AF266+P266+U266+AG266+AH266+AI266+AO266+AJ266+AL266+AQ266+AN266+AS266+AV266+AX266+AY266+AZ266+BA266+BC266+BD266+BE266+BF266+BG266+BH266+BI266+AT266+BK266+BL266+BN266+BO266+BP266+BQ266+BM266</f>
        <v>118.75709999999999</v>
      </c>
      <c r="H266" s="166"/>
      <c r="I266" s="165"/>
      <c r="J266" s="160"/>
      <c r="K266" s="160"/>
      <c r="L266" s="166"/>
      <c r="M266" s="165"/>
      <c r="N266" s="165"/>
      <c r="O266" s="165"/>
      <c r="P266" s="160"/>
      <c r="Q266" s="166"/>
      <c r="R266" s="165"/>
      <c r="S266" s="165"/>
      <c r="T266" s="159"/>
      <c r="U266" s="160"/>
      <c r="V266" s="165"/>
      <c r="W266" s="165"/>
      <c r="X266" s="160"/>
      <c r="Y266" s="166"/>
      <c r="Z266" s="160"/>
      <c r="AA266" s="160"/>
      <c r="AB266" s="165"/>
      <c r="AC266" s="165"/>
      <c r="AD266" s="165"/>
      <c r="AE266" s="165"/>
      <c r="AF266" s="160"/>
      <c r="AG266" s="160"/>
      <c r="AH266" s="160"/>
      <c r="AI266" s="160"/>
      <c r="AJ266" s="161"/>
      <c r="AK266" s="162"/>
      <c r="AL266" s="165"/>
      <c r="AM266" s="166"/>
      <c r="AN266" s="165"/>
      <c r="AO266" s="160"/>
      <c r="AP266" s="162"/>
      <c r="AQ266" s="161"/>
      <c r="AR266" s="162"/>
      <c r="AS266" s="161"/>
      <c r="AT266" s="165"/>
      <c r="AU266" s="166"/>
      <c r="AV266" s="165"/>
      <c r="AW266" s="166"/>
      <c r="AX266" s="165"/>
      <c r="AY266" s="165"/>
      <c r="AZ266" s="165"/>
      <c r="BA266" s="165"/>
      <c r="BB266" s="166"/>
      <c r="BC266" s="165"/>
      <c r="BD266" s="165"/>
      <c r="BE266" s="165">
        <v>118.75709999999999</v>
      </c>
      <c r="BF266" s="165"/>
      <c r="BG266" s="165"/>
      <c r="BH266" s="165"/>
      <c r="BI266" s="165"/>
      <c r="BJ266" s="166"/>
      <c r="BK266" s="165"/>
      <c r="BL266" s="165"/>
      <c r="BM266" s="163"/>
      <c r="BN266" s="165"/>
      <c r="BO266" s="165"/>
      <c r="BP266" s="165"/>
      <c r="BQ266" s="167"/>
    </row>
    <row r="267" spans="1:270" ht="39.950000000000003" customHeight="1" outlineLevel="1" x14ac:dyDescent="0.3">
      <c r="A267" s="15" t="s">
        <v>343</v>
      </c>
      <c r="B267" s="12" t="s">
        <v>344</v>
      </c>
      <c r="C267" s="9" t="s">
        <v>6</v>
      </c>
      <c r="D267" s="66" t="s">
        <v>345</v>
      </c>
      <c r="E267" s="158">
        <f t="shared" si="50"/>
        <v>2116.8488500000003</v>
      </c>
      <c r="F267" s="159">
        <f>H267+L267+Q267+Y267+T267+AK267+AP267+AM267+AR267+AU267+AW267+BB267+BJ267</f>
        <v>526.99889000000007</v>
      </c>
      <c r="G267" s="160">
        <f>I267+J267+K267+M267+N267+R267+S267+V267+W267+AD267+O267+X267+Z267+AA267+AB267+AC267+AE267+AF267+P267+U267+AG267+AH267+AI267+AO267+AJ267+AL267+AQ267+AN267+AS267+AV267+AX267+AY267+AZ267+BA267+BC267+BD267+BE267+BF267+BG267+BH267+BI267+AT267+BK267+BL267+BN267+BO267+BP267+BQ267+BM267</f>
        <v>1589.84996</v>
      </c>
      <c r="H267" s="166">
        <v>274.52485999999999</v>
      </c>
      <c r="I267" s="165">
        <v>91.508300000000006</v>
      </c>
      <c r="J267" s="160"/>
      <c r="K267" s="160"/>
      <c r="L267" s="166">
        <v>91.890029999999996</v>
      </c>
      <c r="M267" s="165">
        <v>144.02076</v>
      </c>
      <c r="N267" s="165"/>
      <c r="O267" s="165"/>
      <c r="P267" s="160"/>
      <c r="Q267" s="166"/>
      <c r="R267" s="165"/>
      <c r="S267" s="165"/>
      <c r="T267" s="159"/>
      <c r="U267" s="160"/>
      <c r="V267" s="165"/>
      <c r="W267" s="165"/>
      <c r="X267" s="160"/>
      <c r="Y267" s="166">
        <v>160.584</v>
      </c>
      <c r="Z267" s="160">
        <v>53.527999999999999</v>
      </c>
      <c r="AA267" s="160">
        <v>935.51889000000006</v>
      </c>
      <c r="AB267" s="165"/>
      <c r="AC267" s="165"/>
      <c r="AD267" s="165"/>
      <c r="AE267" s="165"/>
      <c r="AF267" s="160"/>
      <c r="AG267" s="160"/>
      <c r="AH267" s="160"/>
      <c r="AI267" s="160"/>
      <c r="AJ267" s="161"/>
      <c r="AK267" s="162"/>
      <c r="AL267" s="165"/>
      <c r="AM267" s="166"/>
      <c r="AN267" s="165"/>
      <c r="AO267" s="160"/>
      <c r="AP267" s="162"/>
      <c r="AQ267" s="161"/>
      <c r="AR267" s="162"/>
      <c r="AS267" s="161"/>
      <c r="AT267" s="165"/>
      <c r="AU267" s="166"/>
      <c r="AV267" s="165"/>
      <c r="AW267" s="166"/>
      <c r="AX267" s="165"/>
      <c r="AY267" s="165">
        <v>23.582979999999999</v>
      </c>
      <c r="AZ267" s="165"/>
      <c r="BA267" s="165"/>
      <c r="BB267" s="166"/>
      <c r="BC267" s="165"/>
      <c r="BD267" s="165"/>
      <c r="BE267" s="165"/>
      <c r="BF267" s="165"/>
      <c r="BG267" s="165"/>
      <c r="BH267" s="165"/>
      <c r="BI267" s="165"/>
      <c r="BJ267" s="166"/>
      <c r="BK267" s="165"/>
      <c r="BL267" s="165"/>
      <c r="BM267" s="163"/>
      <c r="BN267" s="165"/>
      <c r="BO267" s="165">
        <v>341.69103000000001</v>
      </c>
      <c r="BP267" s="165"/>
      <c r="BQ267" s="167"/>
    </row>
    <row r="268" spans="1:270" ht="39.950000000000003" customHeight="1" outlineLevel="1" x14ac:dyDescent="0.3">
      <c r="A268" s="15" t="s">
        <v>343</v>
      </c>
      <c r="B268" s="12" t="s">
        <v>346</v>
      </c>
      <c r="C268" s="9" t="s">
        <v>6</v>
      </c>
      <c r="D268" s="66" t="s">
        <v>347</v>
      </c>
      <c r="E268" s="158">
        <f t="shared" si="50"/>
        <v>1625.7776999999999</v>
      </c>
      <c r="F268" s="159">
        <f>H268+L268+Q268+Y268+T268+AK268+AP268+AM268+AR268+AU268+AW268+BB268+BJ268</f>
        <v>245.51596999999998</v>
      </c>
      <c r="G268" s="160">
        <f>I268+J268+K268+M268+N268+R268+S268+V268+W268+AD268+O268+X268+Z268+AA268+AB268+AC268+AE268+AF268+P268+U268+AG268+AH268+AI268+AO268+AJ268+AL268+AQ268+AN268+AS268+AV268+AX268+AY268+AZ268+BA268+BC268+BD268+BE268+BF268+BG268+BH268+BI268+AT268+BK268+BL268+BN268+BO268+BP268+BQ268+BM268</f>
        <v>1380.2617299999999</v>
      </c>
      <c r="H268" s="166">
        <v>27.452490000000001</v>
      </c>
      <c r="I268" s="165">
        <v>9.1508299999999991</v>
      </c>
      <c r="J268" s="160"/>
      <c r="K268" s="160"/>
      <c r="L268" s="166">
        <v>69.695629999999994</v>
      </c>
      <c r="M268" s="165">
        <v>109.23511000000001</v>
      </c>
      <c r="N268" s="165"/>
      <c r="O268" s="165"/>
      <c r="P268" s="160"/>
      <c r="Q268" s="166"/>
      <c r="R268" s="165"/>
      <c r="S268" s="165"/>
      <c r="T268" s="159"/>
      <c r="U268" s="160"/>
      <c r="V268" s="165"/>
      <c r="W268" s="165"/>
      <c r="X268" s="160"/>
      <c r="Y268" s="166">
        <v>148.36785</v>
      </c>
      <c r="Z268" s="160">
        <v>49.455950000000001</v>
      </c>
      <c r="AA268" s="160">
        <v>1212.41984</v>
      </c>
      <c r="AB268" s="165"/>
      <c r="AC268" s="165"/>
      <c r="AD268" s="165"/>
      <c r="AE268" s="165"/>
      <c r="AF268" s="160"/>
      <c r="AG268" s="160"/>
      <c r="AH268" s="160"/>
      <c r="AI268" s="160"/>
      <c r="AJ268" s="161"/>
      <c r="AK268" s="162"/>
      <c r="AL268" s="165"/>
      <c r="AM268" s="166"/>
      <c r="AN268" s="165"/>
      <c r="AO268" s="160"/>
      <c r="AP268" s="162"/>
      <c r="AQ268" s="161"/>
      <c r="AR268" s="162"/>
      <c r="AS268" s="161"/>
      <c r="AT268" s="165"/>
      <c r="AU268" s="166"/>
      <c r="AV268" s="165"/>
      <c r="AW268" s="166"/>
      <c r="AX268" s="165"/>
      <c r="AY268" s="165"/>
      <c r="AZ268" s="165"/>
      <c r="BA268" s="165"/>
      <c r="BB268" s="166"/>
      <c r="BC268" s="165"/>
      <c r="BD268" s="165"/>
      <c r="BE268" s="165"/>
      <c r="BF268" s="165"/>
      <c r="BG268" s="165"/>
      <c r="BH268" s="165"/>
      <c r="BI268" s="165"/>
      <c r="BJ268" s="166"/>
      <c r="BK268" s="165"/>
      <c r="BL268" s="165"/>
      <c r="BM268" s="163"/>
      <c r="BN268" s="165"/>
      <c r="BO268" s="165"/>
      <c r="BP268" s="165"/>
      <c r="BQ268" s="167"/>
    </row>
    <row r="269" spans="1:270" s="34" customFormat="1" ht="39.950000000000003" customHeight="1" x14ac:dyDescent="0.3">
      <c r="A269" s="118" t="s">
        <v>352</v>
      </c>
      <c r="B269" s="115"/>
      <c r="C269" s="116" t="s">
        <v>80</v>
      </c>
      <c r="D269" s="117"/>
      <c r="E269" s="171">
        <f t="shared" ref="E269:AI269" si="51">SUBTOTAL(9,E265:E268)</f>
        <v>4360.9827800000003</v>
      </c>
      <c r="F269" s="171">
        <f t="shared" si="51"/>
        <v>978.13596000000007</v>
      </c>
      <c r="G269" s="171">
        <f t="shared" si="51"/>
        <v>3382.8468199999998</v>
      </c>
      <c r="H269" s="171">
        <f t="shared" si="51"/>
        <v>486.72485</v>
      </c>
      <c r="I269" s="171">
        <f t="shared" si="51"/>
        <v>162.24162999999999</v>
      </c>
      <c r="J269" s="171">
        <f t="shared" si="51"/>
        <v>0</v>
      </c>
      <c r="K269" s="171">
        <f t="shared" si="51"/>
        <v>0</v>
      </c>
      <c r="L269" s="171">
        <f t="shared" si="51"/>
        <v>182.45925999999997</v>
      </c>
      <c r="M269" s="171">
        <f t="shared" si="51"/>
        <v>285.97140000000002</v>
      </c>
      <c r="N269" s="171">
        <f t="shared" si="51"/>
        <v>0</v>
      </c>
      <c r="O269" s="171">
        <f>SUBTOTAL(9,O265:O268)</f>
        <v>0</v>
      </c>
      <c r="P269" s="171">
        <f>SUBTOTAL(9,P265:P268)</f>
        <v>0</v>
      </c>
      <c r="Q269" s="171">
        <f t="shared" si="51"/>
        <v>0</v>
      </c>
      <c r="R269" s="171">
        <f t="shared" si="51"/>
        <v>0</v>
      </c>
      <c r="S269" s="171">
        <f t="shared" si="51"/>
        <v>0</v>
      </c>
      <c r="T269" s="171">
        <f>SUBTOTAL(9,T265:T268)</f>
        <v>0</v>
      </c>
      <c r="U269" s="171">
        <f>SUBTOTAL(9,U265:U268)</f>
        <v>0</v>
      </c>
      <c r="V269" s="171">
        <f t="shared" si="51"/>
        <v>0</v>
      </c>
      <c r="W269" s="171">
        <f t="shared" si="51"/>
        <v>199.68</v>
      </c>
      <c r="X269" s="171">
        <f>SUBTOTAL(9,X265:X268)</f>
        <v>0</v>
      </c>
      <c r="Y269" s="171">
        <f t="shared" si="51"/>
        <v>308.95185000000004</v>
      </c>
      <c r="Z269" s="171">
        <f t="shared" si="51"/>
        <v>102.98394999999999</v>
      </c>
      <c r="AA269" s="171">
        <f t="shared" si="51"/>
        <v>2147.9387299999999</v>
      </c>
      <c r="AB269" s="171">
        <f t="shared" si="51"/>
        <v>0</v>
      </c>
      <c r="AC269" s="171">
        <f t="shared" si="51"/>
        <v>0</v>
      </c>
      <c r="AD269" s="171">
        <f>SUBTOTAL(9,AD265:AD268)</f>
        <v>0</v>
      </c>
      <c r="AE269" s="171">
        <f t="shared" si="51"/>
        <v>0</v>
      </c>
      <c r="AF269" s="171">
        <f t="shared" si="51"/>
        <v>0</v>
      </c>
      <c r="AG269" s="171">
        <f t="shared" si="51"/>
        <v>0</v>
      </c>
      <c r="AH269" s="171">
        <f t="shared" si="51"/>
        <v>0</v>
      </c>
      <c r="AI269" s="171">
        <f t="shared" si="51"/>
        <v>0</v>
      </c>
      <c r="AJ269" s="171">
        <f t="shared" ref="AJ269:BQ269" si="52">SUBTOTAL(9,AJ265:AJ268)</f>
        <v>0</v>
      </c>
      <c r="AK269" s="171">
        <f t="shared" si="52"/>
        <v>0</v>
      </c>
      <c r="AL269" s="171">
        <f t="shared" si="52"/>
        <v>0</v>
      </c>
      <c r="AM269" s="171">
        <f>SUBTOTAL(9,AM265:AM268)</f>
        <v>0</v>
      </c>
      <c r="AN269" s="171">
        <f>SUBTOTAL(9,AN265:AN268)</f>
        <v>0</v>
      </c>
      <c r="AO269" s="171">
        <f>SUBTOTAL(9,AO265:AO268)</f>
        <v>0</v>
      </c>
      <c r="AP269" s="171">
        <f t="shared" si="52"/>
        <v>0</v>
      </c>
      <c r="AQ269" s="171">
        <f t="shared" si="52"/>
        <v>0</v>
      </c>
      <c r="AR269" s="171">
        <f t="shared" si="52"/>
        <v>0</v>
      </c>
      <c r="AS269" s="171">
        <f t="shared" si="52"/>
        <v>0</v>
      </c>
      <c r="AT269" s="171">
        <f>SUBTOTAL(9,AT265:AT268)</f>
        <v>0</v>
      </c>
      <c r="AU269" s="171">
        <f t="shared" si="52"/>
        <v>0</v>
      </c>
      <c r="AV269" s="171">
        <f t="shared" si="52"/>
        <v>0</v>
      </c>
      <c r="AW269" s="171">
        <f t="shared" si="52"/>
        <v>0</v>
      </c>
      <c r="AX269" s="171">
        <f t="shared" si="52"/>
        <v>0</v>
      </c>
      <c r="AY269" s="171">
        <f t="shared" si="52"/>
        <v>23.582979999999999</v>
      </c>
      <c r="AZ269" s="171">
        <f t="shared" si="52"/>
        <v>0</v>
      </c>
      <c r="BA269" s="171">
        <f t="shared" si="52"/>
        <v>0</v>
      </c>
      <c r="BB269" s="171">
        <f t="shared" si="52"/>
        <v>0</v>
      </c>
      <c r="BC269" s="171">
        <f t="shared" si="52"/>
        <v>0</v>
      </c>
      <c r="BD269" s="171">
        <f t="shared" si="52"/>
        <v>0</v>
      </c>
      <c r="BE269" s="171">
        <f t="shared" si="52"/>
        <v>118.75709999999999</v>
      </c>
      <c r="BF269" s="171">
        <f t="shared" si="52"/>
        <v>0</v>
      </c>
      <c r="BG269" s="171">
        <f t="shared" si="52"/>
        <v>0</v>
      </c>
      <c r="BH269" s="171">
        <f t="shared" si="52"/>
        <v>0</v>
      </c>
      <c r="BI269" s="171">
        <f t="shared" si="52"/>
        <v>0</v>
      </c>
      <c r="BJ269" s="171">
        <f t="shared" si="52"/>
        <v>0</v>
      </c>
      <c r="BK269" s="171">
        <f t="shared" si="52"/>
        <v>0</v>
      </c>
      <c r="BL269" s="171">
        <f t="shared" si="52"/>
        <v>0</v>
      </c>
      <c r="BM269" s="172">
        <f>SUBTOTAL(9,BM265:BM268)</f>
        <v>0</v>
      </c>
      <c r="BN269" s="171">
        <f t="shared" si="52"/>
        <v>0</v>
      </c>
      <c r="BO269" s="171">
        <f t="shared" si="52"/>
        <v>341.69103000000001</v>
      </c>
      <c r="BP269" s="171">
        <f t="shared" si="52"/>
        <v>0</v>
      </c>
      <c r="BQ269" s="172">
        <f t="shared" si="52"/>
        <v>0</v>
      </c>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c r="DV269" s="40"/>
      <c r="DW269" s="40"/>
      <c r="DX269" s="40"/>
      <c r="DY269" s="40"/>
      <c r="DZ269" s="40"/>
      <c r="EA269" s="40"/>
      <c r="EB269" s="40"/>
      <c r="EC269" s="40"/>
      <c r="ED269" s="40"/>
      <c r="EE269" s="40"/>
      <c r="EF269" s="40"/>
      <c r="EG269" s="40"/>
      <c r="EH269" s="40"/>
      <c r="EI269" s="40"/>
      <c r="EJ269" s="40"/>
      <c r="EK269" s="40"/>
      <c r="EL269" s="40"/>
      <c r="EM269" s="40"/>
      <c r="EN269" s="40"/>
      <c r="EO269" s="40"/>
      <c r="EP269" s="40"/>
      <c r="EQ269" s="40"/>
      <c r="ER269" s="40"/>
      <c r="ES269" s="40"/>
      <c r="ET269" s="40"/>
      <c r="EU269" s="40"/>
      <c r="EV269" s="40"/>
      <c r="EW269" s="40"/>
      <c r="EX269" s="40"/>
      <c r="EY269" s="40"/>
      <c r="EZ269" s="40"/>
      <c r="FA269" s="40"/>
      <c r="FB269" s="40"/>
      <c r="FC269" s="40"/>
      <c r="FD269" s="40"/>
      <c r="FE269" s="40"/>
      <c r="FF269" s="40"/>
      <c r="FG269" s="40"/>
      <c r="FH269" s="40"/>
      <c r="FI269" s="40"/>
      <c r="FJ269" s="40"/>
      <c r="FK269" s="40"/>
      <c r="FL269" s="40"/>
      <c r="FM269" s="40"/>
      <c r="FN269" s="40"/>
      <c r="FO269" s="40"/>
      <c r="FP269" s="40"/>
      <c r="FQ269" s="40"/>
      <c r="FR269" s="40"/>
      <c r="FS269" s="40"/>
      <c r="FT269" s="40"/>
      <c r="FU269" s="40"/>
      <c r="FV269" s="40"/>
      <c r="FW269" s="40"/>
      <c r="FX269" s="40"/>
      <c r="FY269" s="40"/>
      <c r="FZ269" s="40"/>
      <c r="GA269" s="40"/>
      <c r="GB269" s="40"/>
      <c r="GC269" s="40"/>
      <c r="GD269" s="40"/>
      <c r="GE269" s="40"/>
      <c r="GF269" s="40"/>
      <c r="GG269" s="40"/>
      <c r="GH269" s="40"/>
      <c r="GI269" s="40"/>
      <c r="GJ269" s="40"/>
      <c r="GK269" s="40"/>
      <c r="GL269" s="40"/>
      <c r="GM269" s="40"/>
      <c r="GN269" s="40"/>
      <c r="GO269" s="40"/>
      <c r="GP269" s="40"/>
      <c r="GQ269" s="40"/>
      <c r="GR269" s="40"/>
      <c r="GS269" s="40"/>
      <c r="GT269" s="40"/>
      <c r="GU269" s="40"/>
      <c r="GV269" s="40"/>
      <c r="GW269" s="40"/>
      <c r="GX269" s="40"/>
      <c r="GY269" s="40"/>
      <c r="GZ269" s="40"/>
      <c r="HA269" s="40"/>
      <c r="HB269" s="40"/>
      <c r="HC269" s="40"/>
      <c r="HD269" s="40"/>
      <c r="HE269" s="40"/>
      <c r="HF269" s="40"/>
      <c r="HG269" s="40"/>
      <c r="HH269" s="40"/>
      <c r="HI269" s="40"/>
      <c r="HJ269" s="40"/>
      <c r="HK269" s="40"/>
      <c r="HL269" s="40"/>
      <c r="HM269" s="40"/>
      <c r="HN269" s="40"/>
      <c r="HO269" s="40"/>
      <c r="HP269" s="40"/>
      <c r="HQ269" s="40"/>
      <c r="HR269" s="40"/>
      <c r="HS269" s="40"/>
      <c r="HT269" s="40"/>
      <c r="HU269" s="40"/>
      <c r="HV269" s="40"/>
      <c r="HW269" s="40"/>
      <c r="HX269" s="40"/>
      <c r="HY269" s="40"/>
      <c r="HZ269" s="40"/>
      <c r="IA269" s="40"/>
      <c r="IB269" s="40"/>
      <c r="IC269" s="40"/>
      <c r="ID269" s="40"/>
      <c r="IE269" s="40"/>
      <c r="IF269" s="40"/>
      <c r="IG269" s="40"/>
      <c r="IH269" s="40"/>
      <c r="II269" s="40"/>
      <c r="IJ269" s="40"/>
      <c r="IK269" s="40"/>
      <c r="IL269" s="40"/>
      <c r="IM269" s="40"/>
      <c r="IN269" s="40"/>
      <c r="IO269" s="40"/>
      <c r="IP269" s="40"/>
      <c r="IQ269" s="40"/>
      <c r="IR269" s="40"/>
      <c r="IS269" s="40"/>
      <c r="IT269" s="40"/>
      <c r="IU269" s="40"/>
      <c r="IV269" s="40"/>
      <c r="IW269" s="40"/>
      <c r="IX269" s="40"/>
      <c r="IY269" s="40"/>
      <c r="IZ269" s="40"/>
      <c r="JA269" s="40"/>
      <c r="JB269" s="40"/>
      <c r="JC269" s="40"/>
      <c r="JD269" s="40"/>
      <c r="JE269" s="40"/>
      <c r="JF269" s="40"/>
      <c r="JG269" s="40"/>
      <c r="JH269" s="40"/>
      <c r="JI269" s="40"/>
      <c r="JJ269" s="40"/>
    </row>
    <row r="270" spans="1:270" ht="39.950000000000003" customHeight="1" outlineLevel="1" x14ac:dyDescent="0.3">
      <c r="A270" s="15" t="s">
        <v>353</v>
      </c>
      <c r="B270" s="12" t="s">
        <v>1307</v>
      </c>
      <c r="C270" s="9" t="s">
        <v>30</v>
      </c>
      <c r="D270" s="66">
        <v>244203303150</v>
      </c>
      <c r="E270" s="158">
        <f t="shared" ref="E270:E280" si="53">F270+G270</f>
        <v>95.519090000000006</v>
      </c>
      <c r="F270" s="159">
        <f t="shared" ref="F270:F280" si="54">H270+L270+Q270+Y270+T270+AK270+AP270+AM270+AR270+AU270+AW270+BB270+BJ270</f>
        <v>55.144629999999999</v>
      </c>
      <c r="G270" s="160">
        <f t="shared" ref="G270:G280" si="55">I270+J270+K270+M270+N270+R270+S270+V270+W270+AD270+O270+X270+Z270+AA270+AB270+AC270+AE270+AF270+P270+U270+AG270+AH270+AI270+AO270+AJ270+AL270+AQ270+AN270+AS270+AV270+AX270+AY270+AZ270+BA270+BC270+BD270+BE270+BF270+BG270+BH270+BI270+AT270+BK270+BL270+BN270+BO270+BP270+BQ270+BM270</f>
        <v>40.374459999999999</v>
      </c>
      <c r="H270" s="166">
        <v>37.321919999999999</v>
      </c>
      <c r="I270" s="165">
        <v>12.44064</v>
      </c>
      <c r="J270" s="160"/>
      <c r="K270" s="160"/>
      <c r="L270" s="166">
        <v>17.822710000000001</v>
      </c>
      <c r="M270" s="165">
        <v>27.933820000000001</v>
      </c>
      <c r="N270" s="165"/>
      <c r="O270" s="165"/>
      <c r="P270" s="160"/>
      <c r="Q270" s="166"/>
      <c r="R270" s="165"/>
      <c r="S270" s="165"/>
      <c r="T270" s="159"/>
      <c r="U270" s="160"/>
      <c r="V270" s="165"/>
      <c r="W270" s="165"/>
      <c r="X270" s="160"/>
      <c r="Y270" s="166"/>
      <c r="Z270" s="160"/>
      <c r="AA270" s="160"/>
      <c r="AB270" s="165"/>
      <c r="AC270" s="165"/>
      <c r="AD270" s="165"/>
      <c r="AE270" s="165"/>
      <c r="AF270" s="160"/>
      <c r="AG270" s="160"/>
      <c r="AH270" s="160"/>
      <c r="AI270" s="160"/>
      <c r="AJ270" s="161"/>
      <c r="AK270" s="162"/>
      <c r="AL270" s="165"/>
      <c r="AM270" s="166"/>
      <c r="AN270" s="165"/>
      <c r="AO270" s="160"/>
      <c r="AP270" s="162"/>
      <c r="AQ270" s="161"/>
      <c r="AR270" s="162"/>
      <c r="AS270" s="161"/>
      <c r="AT270" s="165"/>
      <c r="AU270" s="166"/>
      <c r="AV270" s="165"/>
      <c r="AW270" s="166"/>
      <c r="AX270" s="165"/>
      <c r="AY270" s="165"/>
      <c r="AZ270" s="165"/>
      <c r="BA270" s="165"/>
      <c r="BB270" s="166"/>
      <c r="BC270" s="165"/>
      <c r="BD270" s="165"/>
      <c r="BE270" s="165"/>
      <c r="BF270" s="165"/>
      <c r="BG270" s="165"/>
      <c r="BH270" s="165"/>
      <c r="BI270" s="165"/>
      <c r="BJ270" s="166"/>
      <c r="BK270" s="165"/>
      <c r="BL270" s="165"/>
      <c r="BM270" s="163"/>
      <c r="BN270" s="165"/>
      <c r="BO270" s="165"/>
      <c r="BP270" s="165"/>
      <c r="BQ270" s="167"/>
    </row>
    <row r="271" spans="1:270" ht="39.950000000000003" customHeight="1" outlineLevel="1" x14ac:dyDescent="0.3">
      <c r="A271" s="15" t="s">
        <v>353</v>
      </c>
      <c r="B271" s="12" t="s">
        <v>1480</v>
      </c>
      <c r="C271" s="9" t="s">
        <v>30</v>
      </c>
      <c r="D271" s="66">
        <v>241301741421</v>
      </c>
      <c r="E271" s="158">
        <f t="shared" si="53"/>
        <v>31.331859999999999</v>
      </c>
      <c r="F271" s="159">
        <f t="shared" si="54"/>
        <v>12.204129999999999</v>
      </c>
      <c r="G271" s="160">
        <f t="shared" si="55"/>
        <v>19.12773</v>
      </c>
      <c r="H271" s="166"/>
      <c r="I271" s="165"/>
      <c r="J271" s="160"/>
      <c r="K271" s="160"/>
      <c r="L271" s="166">
        <v>12.204129999999999</v>
      </c>
      <c r="M271" s="165">
        <v>19.12773</v>
      </c>
      <c r="N271" s="165"/>
      <c r="O271" s="165"/>
      <c r="P271" s="160"/>
      <c r="Q271" s="166"/>
      <c r="R271" s="165"/>
      <c r="S271" s="165"/>
      <c r="T271" s="159"/>
      <c r="U271" s="160"/>
      <c r="V271" s="165"/>
      <c r="W271" s="165"/>
      <c r="X271" s="160"/>
      <c r="Y271" s="166"/>
      <c r="Z271" s="160"/>
      <c r="AA271" s="160"/>
      <c r="AB271" s="165"/>
      <c r="AC271" s="165"/>
      <c r="AD271" s="165"/>
      <c r="AE271" s="165"/>
      <c r="AF271" s="160"/>
      <c r="AG271" s="160"/>
      <c r="AH271" s="160"/>
      <c r="AI271" s="160"/>
      <c r="AJ271" s="161"/>
      <c r="AK271" s="162"/>
      <c r="AL271" s="165"/>
      <c r="AM271" s="166"/>
      <c r="AN271" s="165"/>
      <c r="AO271" s="160"/>
      <c r="AP271" s="162"/>
      <c r="AQ271" s="161"/>
      <c r="AR271" s="162"/>
      <c r="AS271" s="161"/>
      <c r="AT271" s="165"/>
      <c r="AU271" s="166"/>
      <c r="AV271" s="165"/>
      <c r="AW271" s="166"/>
      <c r="AX271" s="165"/>
      <c r="AY271" s="165"/>
      <c r="AZ271" s="165"/>
      <c r="BA271" s="165"/>
      <c r="BB271" s="166"/>
      <c r="BC271" s="165"/>
      <c r="BD271" s="165"/>
      <c r="BE271" s="165"/>
      <c r="BF271" s="165"/>
      <c r="BG271" s="165"/>
      <c r="BH271" s="165"/>
      <c r="BI271" s="165"/>
      <c r="BJ271" s="166"/>
      <c r="BK271" s="165"/>
      <c r="BL271" s="165"/>
      <c r="BM271" s="163"/>
      <c r="BN271" s="165"/>
      <c r="BO271" s="165"/>
      <c r="BP271" s="165"/>
      <c r="BQ271" s="167"/>
    </row>
    <row r="272" spans="1:270" ht="39.950000000000003" customHeight="1" outlineLevel="1" x14ac:dyDescent="0.3">
      <c r="A272" s="12" t="s">
        <v>353</v>
      </c>
      <c r="B272" s="12" t="s">
        <v>1365</v>
      </c>
      <c r="C272" s="9" t="s">
        <v>30</v>
      </c>
      <c r="D272" s="68">
        <v>241301526216</v>
      </c>
      <c r="E272" s="158">
        <f t="shared" si="53"/>
        <v>521.96668</v>
      </c>
      <c r="F272" s="159">
        <f t="shared" si="54"/>
        <v>22.89226</v>
      </c>
      <c r="G272" s="160">
        <f t="shared" si="55"/>
        <v>499.07442000000003</v>
      </c>
      <c r="H272" s="166"/>
      <c r="I272" s="165"/>
      <c r="J272" s="160"/>
      <c r="K272" s="160"/>
      <c r="L272" s="166">
        <v>22.89226</v>
      </c>
      <c r="M272" s="165">
        <v>35.879420000000003</v>
      </c>
      <c r="N272" s="165"/>
      <c r="O272" s="165"/>
      <c r="P272" s="160"/>
      <c r="Q272" s="166"/>
      <c r="R272" s="165"/>
      <c r="S272" s="165">
        <v>80.474999999999994</v>
      </c>
      <c r="T272" s="159"/>
      <c r="U272" s="160"/>
      <c r="V272" s="165"/>
      <c r="W272" s="165">
        <v>382.72</v>
      </c>
      <c r="X272" s="160"/>
      <c r="Y272" s="166"/>
      <c r="Z272" s="160"/>
      <c r="AA272" s="160"/>
      <c r="AB272" s="165"/>
      <c r="AC272" s="165"/>
      <c r="AD272" s="165"/>
      <c r="AE272" s="165"/>
      <c r="AF272" s="160"/>
      <c r="AG272" s="160"/>
      <c r="AH272" s="160"/>
      <c r="AI272" s="160"/>
      <c r="AJ272" s="161"/>
      <c r="AK272" s="162"/>
      <c r="AL272" s="165"/>
      <c r="AM272" s="166"/>
      <c r="AN272" s="165"/>
      <c r="AO272" s="160"/>
      <c r="AP272" s="162"/>
      <c r="AQ272" s="161"/>
      <c r="AR272" s="162"/>
      <c r="AS272" s="161"/>
      <c r="AT272" s="165"/>
      <c r="AU272" s="166"/>
      <c r="AV272" s="165"/>
      <c r="AW272" s="166"/>
      <c r="AX272" s="165"/>
      <c r="AY272" s="165"/>
      <c r="AZ272" s="165"/>
      <c r="BA272" s="165"/>
      <c r="BB272" s="166"/>
      <c r="BC272" s="165"/>
      <c r="BD272" s="165"/>
      <c r="BE272" s="165"/>
      <c r="BF272" s="165"/>
      <c r="BG272" s="165"/>
      <c r="BH272" s="165"/>
      <c r="BI272" s="165"/>
      <c r="BJ272" s="166"/>
      <c r="BK272" s="165"/>
      <c r="BL272" s="165"/>
      <c r="BM272" s="163"/>
      <c r="BN272" s="165"/>
      <c r="BO272" s="165"/>
      <c r="BP272" s="165"/>
      <c r="BQ272" s="167"/>
    </row>
    <row r="273" spans="1:270" ht="39.950000000000003" customHeight="1" outlineLevel="1" x14ac:dyDescent="0.3">
      <c r="A273" s="12" t="s">
        <v>353</v>
      </c>
      <c r="B273" s="90" t="s">
        <v>1556</v>
      </c>
      <c r="C273" s="9" t="s">
        <v>30</v>
      </c>
      <c r="D273" s="91" t="s">
        <v>1557</v>
      </c>
      <c r="E273" s="158">
        <f t="shared" si="53"/>
        <v>257.92</v>
      </c>
      <c r="F273" s="159">
        <f t="shared" si="54"/>
        <v>0</v>
      </c>
      <c r="G273" s="160">
        <f t="shared" si="55"/>
        <v>257.92</v>
      </c>
      <c r="H273" s="166"/>
      <c r="I273" s="165"/>
      <c r="J273" s="160"/>
      <c r="K273" s="160"/>
      <c r="L273" s="166"/>
      <c r="M273" s="165"/>
      <c r="N273" s="165"/>
      <c r="O273" s="165"/>
      <c r="P273" s="160"/>
      <c r="Q273" s="166"/>
      <c r="R273" s="165"/>
      <c r="S273" s="165"/>
      <c r="T273" s="159"/>
      <c r="U273" s="160"/>
      <c r="V273" s="165"/>
      <c r="W273" s="165">
        <v>257.92</v>
      </c>
      <c r="X273" s="160"/>
      <c r="Y273" s="166"/>
      <c r="Z273" s="160"/>
      <c r="AA273" s="160"/>
      <c r="AB273" s="165"/>
      <c r="AC273" s="165"/>
      <c r="AD273" s="165"/>
      <c r="AE273" s="165"/>
      <c r="AF273" s="160"/>
      <c r="AG273" s="160"/>
      <c r="AH273" s="160"/>
      <c r="AI273" s="160"/>
      <c r="AJ273" s="161"/>
      <c r="AK273" s="162"/>
      <c r="AL273" s="165"/>
      <c r="AM273" s="166"/>
      <c r="AN273" s="165"/>
      <c r="AO273" s="160"/>
      <c r="AP273" s="162"/>
      <c r="AQ273" s="161"/>
      <c r="AR273" s="162"/>
      <c r="AS273" s="161"/>
      <c r="AT273" s="165"/>
      <c r="AU273" s="166"/>
      <c r="AV273" s="165"/>
      <c r="AW273" s="166"/>
      <c r="AX273" s="165"/>
      <c r="AY273" s="165"/>
      <c r="AZ273" s="165"/>
      <c r="BA273" s="165"/>
      <c r="BB273" s="166"/>
      <c r="BC273" s="165"/>
      <c r="BD273" s="165"/>
      <c r="BE273" s="165"/>
      <c r="BF273" s="165"/>
      <c r="BG273" s="165"/>
      <c r="BH273" s="165"/>
      <c r="BI273" s="165"/>
      <c r="BJ273" s="166"/>
      <c r="BK273" s="165"/>
      <c r="BL273" s="165"/>
      <c r="BM273" s="163"/>
      <c r="BN273" s="165"/>
      <c r="BO273" s="165"/>
      <c r="BP273" s="165"/>
      <c r="BQ273" s="167"/>
    </row>
    <row r="274" spans="1:270" ht="39.950000000000003" customHeight="1" outlineLevel="1" x14ac:dyDescent="0.3">
      <c r="A274" s="15" t="s">
        <v>353</v>
      </c>
      <c r="B274" s="12" t="s">
        <v>360</v>
      </c>
      <c r="C274" s="9" t="s">
        <v>30</v>
      </c>
      <c r="D274" s="66" t="s">
        <v>361</v>
      </c>
      <c r="E274" s="158">
        <f t="shared" si="53"/>
        <v>2631.4995699999999</v>
      </c>
      <c r="F274" s="159">
        <f t="shared" si="54"/>
        <v>102.19377</v>
      </c>
      <c r="G274" s="160">
        <f t="shared" si="55"/>
        <v>2529.3058000000001</v>
      </c>
      <c r="H274" s="166"/>
      <c r="I274" s="165"/>
      <c r="J274" s="160"/>
      <c r="K274" s="160"/>
      <c r="L274" s="166">
        <v>102.19377</v>
      </c>
      <c r="M274" s="165">
        <v>160.16999999999999</v>
      </c>
      <c r="N274" s="165"/>
      <c r="O274" s="165"/>
      <c r="P274" s="160"/>
      <c r="Q274" s="166"/>
      <c r="R274" s="165"/>
      <c r="S274" s="165">
        <f>554.4+1337.52</f>
        <v>1891.92</v>
      </c>
      <c r="T274" s="159"/>
      <c r="U274" s="160"/>
      <c r="V274" s="165"/>
      <c r="W274" s="165">
        <v>257.92</v>
      </c>
      <c r="X274" s="160"/>
      <c r="Y274" s="166"/>
      <c r="Z274" s="160"/>
      <c r="AA274" s="160">
        <v>219.29580000000001</v>
      </c>
      <c r="AB274" s="165"/>
      <c r="AC274" s="165"/>
      <c r="AD274" s="165"/>
      <c r="AE274" s="165"/>
      <c r="AF274" s="160"/>
      <c r="AG274" s="160"/>
      <c r="AH274" s="160"/>
      <c r="AI274" s="160"/>
      <c r="AJ274" s="161"/>
      <c r="AK274" s="162"/>
      <c r="AL274" s="165"/>
      <c r="AM274" s="166"/>
      <c r="AN274" s="165"/>
      <c r="AO274" s="160"/>
      <c r="AP274" s="162"/>
      <c r="AQ274" s="161"/>
      <c r="AR274" s="162"/>
      <c r="AS274" s="161"/>
      <c r="AT274" s="165"/>
      <c r="AU274" s="166"/>
      <c r="AV274" s="165"/>
      <c r="AW274" s="166"/>
      <c r="AX274" s="165"/>
      <c r="AY274" s="165"/>
      <c r="AZ274" s="165"/>
      <c r="BA274" s="165"/>
      <c r="BB274" s="166"/>
      <c r="BC274" s="165"/>
      <c r="BD274" s="165"/>
      <c r="BE274" s="165"/>
      <c r="BF274" s="165"/>
      <c r="BG274" s="165"/>
      <c r="BH274" s="165"/>
      <c r="BI274" s="165"/>
      <c r="BJ274" s="166"/>
      <c r="BK274" s="165"/>
      <c r="BL274" s="165"/>
      <c r="BM274" s="163"/>
      <c r="BN274" s="165"/>
      <c r="BO274" s="165"/>
      <c r="BP274" s="165"/>
      <c r="BQ274" s="167"/>
    </row>
    <row r="275" spans="1:270" ht="39.950000000000003" customHeight="1" outlineLevel="1" x14ac:dyDescent="0.3">
      <c r="A275" s="15" t="s">
        <v>353</v>
      </c>
      <c r="B275" s="12" t="s">
        <v>356</v>
      </c>
      <c r="C275" s="9" t="s">
        <v>30</v>
      </c>
      <c r="D275" s="66" t="s">
        <v>357</v>
      </c>
      <c r="E275" s="158">
        <f t="shared" si="53"/>
        <v>1802.9975199999999</v>
      </c>
      <c r="F275" s="159">
        <f t="shared" si="54"/>
        <v>134.61412999999999</v>
      </c>
      <c r="G275" s="160">
        <f t="shared" si="55"/>
        <v>1668.38339</v>
      </c>
      <c r="H275" s="166">
        <v>35.10548</v>
      </c>
      <c r="I275" s="165">
        <v>11.701829999999999</v>
      </c>
      <c r="J275" s="160">
        <v>19.5</v>
      </c>
      <c r="K275" s="160"/>
      <c r="L275" s="166">
        <v>99.508650000000003</v>
      </c>
      <c r="M275" s="165">
        <v>155.96155999999999</v>
      </c>
      <c r="N275" s="165"/>
      <c r="O275" s="165"/>
      <c r="P275" s="160"/>
      <c r="Q275" s="166"/>
      <c r="R275" s="165"/>
      <c r="S275" s="165">
        <v>41.86</v>
      </c>
      <c r="T275" s="159"/>
      <c r="U275" s="160"/>
      <c r="V275" s="165"/>
      <c r="W275" s="165">
        <v>1439.36</v>
      </c>
      <c r="X275" s="160"/>
      <c r="Y275" s="166"/>
      <c r="Z275" s="160"/>
      <c r="AA275" s="160"/>
      <c r="AB275" s="165"/>
      <c r="AC275" s="165"/>
      <c r="AD275" s="165"/>
      <c r="AE275" s="165"/>
      <c r="AF275" s="160"/>
      <c r="AG275" s="160"/>
      <c r="AH275" s="160"/>
      <c r="AI275" s="160"/>
      <c r="AJ275" s="161"/>
      <c r="AK275" s="162"/>
      <c r="AL275" s="165"/>
      <c r="AM275" s="166"/>
      <c r="AN275" s="165"/>
      <c r="AO275" s="160"/>
      <c r="AP275" s="162"/>
      <c r="AQ275" s="161"/>
      <c r="AR275" s="162"/>
      <c r="AS275" s="161"/>
      <c r="AT275" s="165"/>
      <c r="AU275" s="166"/>
      <c r="AV275" s="165"/>
      <c r="AW275" s="166"/>
      <c r="AX275" s="165"/>
      <c r="AY275" s="165"/>
      <c r="AZ275" s="165"/>
      <c r="BA275" s="165"/>
      <c r="BB275" s="166"/>
      <c r="BC275" s="165"/>
      <c r="BD275" s="165"/>
      <c r="BE275" s="165"/>
      <c r="BF275" s="165"/>
      <c r="BG275" s="165"/>
      <c r="BH275" s="165"/>
      <c r="BI275" s="165"/>
      <c r="BJ275" s="166"/>
      <c r="BK275" s="165"/>
      <c r="BL275" s="165"/>
      <c r="BM275" s="163"/>
      <c r="BN275" s="165"/>
      <c r="BO275" s="165"/>
      <c r="BP275" s="165"/>
      <c r="BQ275" s="167"/>
    </row>
    <row r="276" spans="1:270" ht="39.950000000000003" customHeight="1" outlineLevel="1" x14ac:dyDescent="0.3">
      <c r="A276" s="15" t="s">
        <v>353</v>
      </c>
      <c r="B276" s="12" t="s">
        <v>1482</v>
      </c>
      <c r="C276" s="9" t="s">
        <v>30</v>
      </c>
      <c r="D276" s="66">
        <v>241300160336</v>
      </c>
      <c r="E276" s="158">
        <f t="shared" si="53"/>
        <v>17.42653</v>
      </c>
      <c r="F276" s="159">
        <f t="shared" si="54"/>
        <v>6.7878400000000001</v>
      </c>
      <c r="G276" s="160">
        <f t="shared" si="55"/>
        <v>10.63869</v>
      </c>
      <c r="H276" s="166"/>
      <c r="I276" s="165"/>
      <c r="J276" s="160"/>
      <c r="K276" s="160"/>
      <c r="L276" s="166">
        <v>6.7878400000000001</v>
      </c>
      <c r="M276" s="165">
        <v>10.63869</v>
      </c>
      <c r="N276" s="165"/>
      <c r="O276" s="165"/>
      <c r="P276" s="160"/>
      <c r="Q276" s="166"/>
      <c r="R276" s="165"/>
      <c r="S276" s="165"/>
      <c r="T276" s="159"/>
      <c r="U276" s="160"/>
      <c r="V276" s="165"/>
      <c r="W276" s="165"/>
      <c r="X276" s="160"/>
      <c r="Y276" s="166"/>
      <c r="Z276" s="160"/>
      <c r="AA276" s="160"/>
      <c r="AB276" s="165"/>
      <c r="AC276" s="165"/>
      <c r="AD276" s="165"/>
      <c r="AE276" s="165"/>
      <c r="AF276" s="160"/>
      <c r="AG276" s="160"/>
      <c r="AH276" s="160"/>
      <c r="AI276" s="160"/>
      <c r="AJ276" s="161"/>
      <c r="AK276" s="162"/>
      <c r="AL276" s="165"/>
      <c r="AM276" s="166"/>
      <c r="AN276" s="165"/>
      <c r="AO276" s="160"/>
      <c r="AP276" s="162"/>
      <c r="AQ276" s="161"/>
      <c r="AR276" s="162"/>
      <c r="AS276" s="161"/>
      <c r="AT276" s="165"/>
      <c r="AU276" s="166"/>
      <c r="AV276" s="165"/>
      <c r="AW276" s="166"/>
      <c r="AX276" s="165"/>
      <c r="AY276" s="165"/>
      <c r="AZ276" s="165"/>
      <c r="BA276" s="165"/>
      <c r="BB276" s="166"/>
      <c r="BC276" s="165"/>
      <c r="BD276" s="165"/>
      <c r="BE276" s="165"/>
      <c r="BF276" s="165"/>
      <c r="BG276" s="165"/>
      <c r="BH276" s="165"/>
      <c r="BI276" s="165"/>
      <c r="BJ276" s="166"/>
      <c r="BK276" s="165"/>
      <c r="BL276" s="165"/>
      <c r="BM276" s="163"/>
      <c r="BN276" s="165"/>
      <c r="BO276" s="165"/>
      <c r="BP276" s="165"/>
      <c r="BQ276" s="167"/>
    </row>
    <row r="277" spans="1:270" ht="39.950000000000003" customHeight="1" outlineLevel="1" x14ac:dyDescent="0.3">
      <c r="A277" s="15" t="s">
        <v>353</v>
      </c>
      <c r="B277" s="12" t="s">
        <v>358</v>
      </c>
      <c r="C277" s="21" t="s">
        <v>30</v>
      </c>
      <c r="D277" s="67" t="s">
        <v>359</v>
      </c>
      <c r="E277" s="158">
        <f t="shared" si="53"/>
        <v>437.19635</v>
      </c>
      <c r="F277" s="159">
        <f t="shared" si="54"/>
        <v>94.704000000000008</v>
      </c>
      <c r="G277" s="160">
        <f t="shared" si="55"/>
        <v>342.49234999999999</v>
      </c>
      <c r="H277" s="166"/>
      <c r="I277" s="165"/>
      <c r="J277" s="160"/>
      <c r="K277" s="160"/>
      <c r="L277" s="166">
        <v>32.004600000000003</v>
      </c>
      <c r="M277" s="165">
        <v>50.161349999999999</v>
      </c>
      <c r="N277" s="165"/>
      <c r="O277" s="165"/>
      <c r="P277" s="160"/>
      <c r="Q277" s="166"/>
      <c r="R277" s="165"/>
      <c r="S277" s="165"/>
      <c r="T277" s="159"/>
      <c r="U277" s="160"/>
      <c r="V277" s="165"/>
      <c r="W277" s="165"/>
      <c r="X277" s="160"/>
      <c r="Y277" s="166">
        <v>62.699399999999997</v>
      </c>
      <c r="Z277" s="160">
        <v>20.899799999999999</v>
      </c>
      <c r="AA277" s="160">
        <v>271.43119999999999</v>
      </c>
      <c r="AB277" s="165"/>
      <c r="AC277" s="165"/>
      <c r="AD277" s="165"/>
      <c r="AE277" s="165"/>
      <c r="AF277" s="160"/>
      <c r="AG277" s="160"/>
      <c r="AH277" s="160"/>
      <c r="AI277" s="160"/>
      <c r="AJ277" s="161"/>
      <c r="AK277" s="162"/>
      <c r="AL277" s="165"/>
      <c r="AM277" s="166"/>
      <c r="AN277" s="165"/>
      <c r="AO277" s="160"/>
      <c r="AP277" s="162"/>
      <c r="AQ277" s="161"/>
      <c r="AR277" s="162"/>
      <c r="AS277" s="161"/>
      <c r="AT277" s="165"/>
      <c r="AU277" s="166"/>
      <c r="AV277" s="165"/>
      <c r="AW277" s="166"/>
      <c r="AX277" s="165"/>
      <c r="AY277" s="165"/>
      <c r="AZ277" s="165"/>
      <c r="BA277" s="165"/>
      <c r="BB277" s="166"/>
      <c r="BC277" s="165"/>
      <c r="BD277" s="165"/>
      <c r="BE277" s="165"/>
      <c r="BF277" s="165"/>
      <c r="BG277" s="165"/>
      <c r="BH277" s="165"/>
      <c r="BI277" s="165"/>
      <c r="BJ277" s="166"/>
      <c r="BK277" s="165"/>
      <c r="BL277" s="165"/>
      <c r="BM277" s="163"/>
      <c r="BN277" s="165"/>
      <c r="BO277" s="165"/>
      <c r="BP277" s="165"/>
      <c r="BQ277" s="167"/>
    </row>
    <row r="278" spans="1:270" ht="39.950000000000003" customHeight="1" outlineLevel="1" x14ac:dyDescent="0.3">
      <c r="A278" s="15" t="s">
        <v>353</v>
      </c>
      <c r="B278" s="12" t="s">
        <v>1529</v>
      </c>
      <c r="C278" s="21" t="s">
        <v>30</v>
      </c>
      <c r="D278" s="67" t="s">
        <v>1530</v>
      </c>
      <c r="E278" s="158">
        <f t="shared" si="53"/>
        <v>86.683160000000001</v>
      </c>
      <c r="F278" s="159">
        <f t="shared" si="54"/>
        <v>65.012370000000004</v>
      </c>
      <c r="G278" s="160">
        <f t="shared" si="55"/>
        <v>21.67079</v>
      </c>
      <c r="H278" s="166">
        <v>65.012370000000004</v>
      </c>
      <c r="I278" s="165">
        <v>21.67079</v>
      </c>
      <c r="J278" s="160"/>
      <c r="K278" s="160"/>
      <c r="L278" s="166"/>
      <c r="M278" s="165"/>
      <c r="N278" s="165"/>
      <c r="O278" s="165"/>
      <c r="P278" s="160"/>
      <c r="Q278" s="166"/>
      <c r="R278" s="165"/>
      <c r="S278" s="165"/>
      <c r="T278" s="159"/>
      <c r="U278" s="160"/>
      <c r="V278" s="165"/>
      <c r="W278" s="165"/>
      <c r="X278" s="160"/>
      <c r="Y278" s="166"/>
      <c r="Z278" s="160"/>
      <c r="AA278" s="160"/>
      <c r="AB278" s="165"/>
      <c r="AC278" s="165"/>
      <c r="AD278" s="165"/>
      <c r="AE278" s="165"/>
      <c r="AF278" s="160"/>
      <c r="AG278" s="160"/>
      <c r="AH278" s="160"/>
      <c r="AI278" s="160"/>
      <c r="AJ278" s="161"/>
      <c r="AK278" s="162"/>
      <c r="AL278" s="165"/>
      <c r="AM278" s="166"/>
      <c r="AN278" s="165"/>
      <c r="AO278" s="160"/>
      <c r="AP278" s="162"/>
      <c r="AQ278" s="161"/>
      <c r="AR278" s="162"/>
      <c r="AS278" s="161"/>
      <c r="AT278" s="165"/>
      <c r="AU278" s="166"/>
      <c r="AV278" s="165"/>
      <c r="AW278" s="166"/>
      <c r="AX278" s="165"/>
      <c r="AY278" s="165"/>
      <c r="AZ278" s="165"/>
      <c r="BA278" s="165"/>
      <c r="BB278" s="166"/>
      <c r="BC278" s="165"/>
      <c r="BD278" s="165"/>
      <c r="BE278" s="165"/>
      <c r="BF278" s="165"/>
      <c r="BG278" s="165"/>
      <c r="BH278" s="165"/>
      <c r="BI278" s="165"/>
      <c r="BJ278" s="166"/>
      <c r="BK278" s="165"/>
      <c r="BL278" s="165"/>
      <c r="BM278" s="163"/>
      <c r="BN278" s="165"/>
      <c r="BO278" s="165"/>
      <c r="BP278" s="165"/>
      <c r="BQ278" s="167"/>
    </row>
    <row r="279" spans="1:270" ht="39.950000000000003" customHeight="1" outlineLevel="1" x14ac:dyDescent="0.3">
      <c r="A279" s="15" t="s">
        <v>353</v>
      </c>
      <c r="B279" s="12" t="s">
        <v>1153</v>
      </c>
      <c r="C279" s="9" t="s">
        <v>30</v>
      </c>
      <c r="D279" s="66" t="s">
        <v>1187</v>
      </c>
      <c r="E279" s="158">
        <f t="shared" si="53"/>
        <v>282.00078000000002</v>
      </c>
      <c r="F279" s="159">
        <f t="shared" si="54"/>
        <v>0</v>
      </c>
      <c r="G279" s="160">
        <f t="shared" si="55"/>
        <v>282.00078000000002</v>
      </c>
      <c r="H279" s="166"/>
      <c r="I279" s="165"/>
      <c r="J279" s="160"/>
      <c r="K279" s="160"/>
      <c r="L279" s="166"/>
      <c r="M279" s="165"/>
      <c r="N279" s="165"/>
      <c r="O279" s="165"/>
      <c r="P279" s="160"/>
      <c r="Q279" s="166"/>
      <c r="R279" s="165"/>
      <c r="S279" s="165"/>
      <c r="T279" s="159"/>
      <c r="U279" s="160"/>
      <c r="V279" s="165"/>
      <c r="W279" s="165"/>
      <c r="X279" s="160"/>
      <c r="Y279" s="166"/>
      <c r="Z279" s="160"/>
      <c r="AA279" s="160">
        <v>282.00078000000002</v>
      </c>
      <c r="AB279" s="165"/>
      <c r="AC279" s="165"/>
      <c r="AD279" s="165"/>
      <c r="AE279" s="165"/>
      <c r="AF279" s="160"/>
      <c r="AG279" s="160"/>
      <c r="AH279" s="160"/>
      <c r="AI279" s="160"/>
      <c r="AJ279" s="161"/>
      <c r="AK279" s="162"/>
      <c r="AL279" s="165"/>
      <c r="AM279" s="166"/>
      <c r="AN279" s="165"/>
      <c r="AO279" s="160"/>
      <c r="AP279" s="162"/>
      <c r="AQ279" s="161"/>
      <c r="AR279" s="162"/>
      <c r="AS279" s="161"/>
      <c r="AT279" s="165"/>
      <c r="AU279" s="166"/>
      <c r="AV279" s="165"/>
      <c r="AW279" s="166"/>
      <c r="AX279" s="165"/>
      <c r="AY279" s="165"/>
      <c r="AZ279" s="165"/>
      <c r="BA279" s="165"/>
      <c r="BB279" s="166"/>
      <c r="BC279" s="165"/>
      <c r="BD279" s="165"/>
      <c r="BE279" s="165"/>
      <c r="BF279" s="165"/>
      <c r="BG279" s="165"/>
      <c r="BH279" s="165"/>
      <c r="BI279" s="165"/>
      <c r="BJ279" s="166"/>
      <c r="BK279" s="165"/>
      <c r="BL279" s="165"/>
      <c r="BM279" s="163"/>
      <c r="BN279" s="165"/>
      <c r="BO279" s="165"/>
      <c r="BP279" s="165"/>
      <c r="BQ279" s="167"/>
    </row>
    <row r="280" spans="1:270" ht="39.950000000000003" customHeight="1" outlineLevel="1" x14ac:dyDescent="0.3">
      <c r="A280" s="15" t="s">
        <v>353</v>
      </c>
      <c r="B280" s="12" t="s">
        <v>354</v>
      </c>
      <c r="C280" s="9" t="s">
        <v>6</v>
      </c>
      <c r="D280" s="66" t="s">
        <v>355</v>
      </c>
      <c r="E280" s="158">
        <f t="shared" si="53"/>
        <v>15460.261990000003</v>
      </c>
      <c r="F280" s="159">
        <f t="shared" si="54"/>
        <v>2442.71828</v>
      </c>
      <c r="G280" s="160">
        <f t="shared" si="55"/>
        <v>13017.543710000002</v>
      </c>
      <c r="H280" s="166">
        <v>420.17255</v>
      </c>
      <c r="I280" s="165">
        <v>140.05751000000001</v>
      </c>
      <c r="J280" s="160">
        <v>333.50400000000002</v>
      </c>
      <c r="K280" s="160"/>
      <c r="L280" s="166">
        <v>1251.80628</v>
      </c>
      <c r="M280" s="165">
        <v>1961.9767400000001</v>
      </c>
      <c r="N280" s="165"/>
      <c r="O280" s="165"/>
      <c r="P280" s="160"/>
      <c r="Q280" s="166"/>
      <c r="R280" s="165"/>
      <c r="S280" s="165"/>
      <c r="T280" s="159">
        <v>155.52521999999999</v>
      </c>
      <c r="U280" s="160">
        <v>51.841740000000001</v>
      </c>
      <c r="V280" s="165"/>
      <c r="W280" s="165"/>
      <c r="X280" s="160"/>
      <c r="Y280" s="166">
        <v>615.21423000000004</v>
      </c>
      <c r="Z280" s="160">
        <v>205.07140999999999</v>
      </c>
      <c r="AA280" s="160">
        <v>2857.3624100000002</v>
      </c>
      <c r="AB280" s="165"/>
      <c r="AC280" s="165"/>
      <c r="AD280" s="165"/>
      <c r="AE280" s="165"/>
      <c r="AF280" s="160"/>
      <c r="AG280" s="160"/>
      <c r="AH280" s="160"/>
      <c r="AI280" s="160"/>
      <c r="AJ280" s="161"/>
      <c r="AK280" s="162"/>
      <c r="AL280" s="165"/>
      <c r="AM280" s="166"/>
      <c r="AN280" s="165"/>
      <c r="AO280" s="160"/>
      <c r="AP280" s="162"/>
      <c r="AQ280" s="161"/>
      <c r="AR280" s="162"/>
      <c r="AS280" s="161"/>
      <c r="AT280" s="165"/>
      <c r="AU280" s="166"/>
      <c r="AV280" s="165"/>
      <c r="AW280" s="166"/>
      <c r="AX280" s="165"/>
      <c r="AY280" s="165"/>
      <c r="AZ280" s="165"/>
      <c r="BA280" s="165">
        <v>772.89264000000003</v>
      </c>
      <c r="BB280" s="166"/>
      <c r="BC280" s="165"/>
      <c r="BD280" s="165"/>
      <c r="BE280" s="165">
        <v>4483.4879300000002</v>
      </c>
      <c r="BF280" s="165">
        <v>2056.9076599999999</v>
      </c>
      <c r="BG280" s="165">
        <v>154.44166999999999</v>
      </c>
      <c r="BH280" s="165"/>
      <c r="BI280" s="165"/>
      <c r="BJ280" s="166"/>
      <c r="BK280" s="165"/>
      <c r="BL280" s="165"/>
      <c r="BM280" s="163"/>
      <c r="BN280" s="165"/>
      <c r="BO280" s="165"/>
      <c r="BP280" s="165"/>
      <c r="BQ280" s="167"/>
    </row>
    <row r="281" spans="1:270" s="34" customFormat="1" ht="39.950000000000003" customHeight="1" x14ac:dyDescent="0.3">
      <c r="A281" s="118" t="s">
        <v>362</v>
      </c>
      <c r="B281" s="115"/>
      <c r="C281" s="116" t="s">
        <v>80</v>
      </c>
      <c r="D281" s="117"/>
      <c r="E281" s="171">
        <f t="shared" ref="E281:AI281" si="56">SUBTOTAL(9,E270:E280)</f>
        <v>21624.803530000005</v>
      </c>
      <c r="F281" s="171">
        <f t="shared" si="56"/>
        <v>2936.2714100000003</v>
      </c>
      <c r="G281" s="171">
        <f t="shared" si="56"/>
        <v>18688.532120000003</v>
      </c>
      <c r="H281" s="171">
        <f t="shared" si="56"/>
        <v>557.61231999999995</v>
      </c>
      <c r="I281" s="171">
        <f t="shared" si="56"/>
        <v>185.87076999999999</v>
      </c>
      <c r="J281" s="171">
        <f t="shared" si="56"/>
        <v>353.00400000000002</v>
      </c>
      <c r="K281" s="171">
        <f t="shared" si="56"/>
        <v>0</v>
      </c>
      <c r="L281" s="171">
        <f t="shared" si="56"/>
        <v>1545.2202400000001</v>
      </c>
      <c r="M281" s="171">
        <f t="shared" si="56"/>
        <v>2421.8493100000001</v>
      </c>
      <c r="N281" s="171">
        <f t="shared" si="56"/>
        <v>0</v>
      </c>
      <c r="O281" s="171">
        <f>SUBTOTAL(9,O270:O280)</f>
        <v>0</v>
      </c>
      <c r="P281" s="171">
        <f>SUBTOTAL(9,P270:P280)</f>
        <v>0</v>
      </c>
      <c r="Q281" s="171">
        <f t="shared" si="56"/>
        <v>0</v>
      </c>
      <c r="R281" s="171">
        <f t="shared" si="56"/>
        <v>0</v>
      </c>
      <c r="S281" s="171">
        <f t="shared" si="56"/>
        <v>2014.2549999999999</v>
      </c>
      <c r="T281" s="171">
        <f>SUBTOTAL(9,T270:T280)</f>
        <v>155.52521999999999</v>
      </c>
      <c r="U281" s="171">
        <f>SUBTOTAL(9,U270:U280)</f>
        <v>51.841740000000001</v>
      </c>
      <c r="V281" s="171">
        <f t="shared" si="56"/>
        <v>0</v>
      </c>
      <c r="W281" s="171">
        <f t="shared" si="56"/>
        <v>2337.92</v>
      </c>
      <c r="X281" s="171">
        <f>SUBTOTAL(9,X270:X280)</f>
        <v>0</v>
      </c>
      <c r="Y281" s="171">
        <f t="shared" si="56"/>
        <v>677.91363000000001</v>
      </c>
      <c r="Z281" s="171">
        <f t="shared" si="56"/>
        <v>225.97120999999999</v>
      </c>
      <c r="AA281" s="171">
        <f t="shared" si="56"/>
        <v>3630.0901899999999</v>
      </c>
      <c r="AB281" s="171">
        <f t="shared" si="56"/>
        <v>0</v>
      </c>
      <c r="AC281" s="171">
        <f t="shared" si="56"/>
        <v>0</v>
      </c>
      <c r="AD281" s="171">
        <f>SUBTOTAL(9,AD270:AD280)</f>
        <v>0</v>
      </c>
      <c r="AE281" s="171">
        <f t="shared" si="56"/>
        <v>0</v>
      </c>
      <c r="AF281" s="171">
        <f t="shared" si="56"/>
        <v>0</v>
      </c>
      <c r="AG281" s="171">
        <f t="shared" si="56"/>
        <v>0</v>
      </c>
      <c r="AH281" s="171">
        <f t="shared" si="56"/>
        <v>0</v>
      </c>
      <c r="AI281" s="171">
        <f t="shared" si="56"/>
        <v>0</v>
      </c>
      <c r="AJ281" s="171">
        <f t="shared" ref="AJ281:BQ281" si="57">SUBTOTAL(9,AJ270:AJ280)</f>
        <v>0</v>
      </c>
      <c r="AK281" s="171">
        <f t="shared" si="57"/>
        <v>0</v>
      </c>
      <c r="AL281" s="171">
        <f t="shared" si="57"/>
        <v>0</v>
      </c>
      <c r="AM281" s="171">
        <f>SUBTOTAL(9,AM270:AM280)</f>
        <v>0</v>
      </c>
      <c r="AN281" s="171">
        <f>SUBTOTAL(9,AN270:AN280)</f>
        <v>0</v>
      </c>
      <c r="AO281" s="171">
        <f>SUBTOTAL(9,AO270:AO280)</f>
        <v>0</v>
      </c>
      <c r="AP281" s="171">
        <f t="shared" si="57"/>
        <v>0</v>
      </c>
      <c r="AQ281" s="171">
        <f t="shared" si="57"/>
        <v>0</v>
      </c>
      <c r="AR281" s="171">
        <f t="shared" si="57"/>
        <v>0</v>
      </c>
      <c r="AS281" s="171">
        <f t="shared" si="57"/>
        <v>0</v>
      </c>
      <c r="AT281" s="171">
        <f>SUBTOTAL(9,AT270:AT280)</f>
        <v>0</v>
      </c>
      <c r="AU281" s="171">
        <f t="shared" si="57"/>
        <v>0</v>
      </c>
      <c r="AV281" s="171">
        <f t="shared" si="57"/>
        <v>0</v>
      </c>
      <c r="AW281" s="171">
        <f t="shared" si="57"/>
        <v>0</v>
      </c>
      <c r="AX281" s="171">
        <f t="shared" si="57"/>
        <v>0</v>
      </c>
      <c r="AY281" s="171">
        <f t="shared" si="57"/>
        <v>0</v>
      </c>
      <c r="AZ281" s="171">
        <f t="shared" si="57"/>
        <v>0</v>
      </c>
      <c r="BA281" s="171">
        <f t="shared" si="57"/>
        <v>772.89264000000003</v>
      </c>
      <c r="BB281" s="171">
        <f t="shared" si="57"/>
        <v>0</v>
      </c>
      <c r="BC281" s="171">
        <f t="shared" si="57"/>
        <v>0</v>
      </c>
      <c r="BD281" s="171">
        <f t="shared" si="57"/>
        <v>0</v>
      </c>
      <c r="BE281" s="171">
        <f t="shared" si="57"/>
        <v>4483.4879300000002</v>
      </c>
      <c r="BF281" s="171">
        <f t="shared" si="57"/>
        <v>2056.9076599999999</v>
      </c>
      <c r="BG281" s="171">
        <f t="shared" si="57"/>
        <v>154.44166999999999</v>
      </c>
      <c r="BH281" s="171">
        <f t="shared" si="57"/>
        <v>0</v>
      </c>
      <c r="BI281" s="171">
        <f t="shared" si="57"/>
        <v>0</v>
      </c>
      <c r="BJ281" s="171">
        <f t="shared" si="57"/>
        <v>0</v>
      </c>
      <c r="BK281" s="171">
        <f t="shared" si="57"/>
        <v>0</v>
      </c>
      <c r="BL281" s="171">
        <f t="shared" si="57"/>
        <v>0</v>
      </c>
      <c r="BM281" s="172">
        <f>SUBTOTAL(9,BM270:BM280)</f>
        <v>0</v>
      </c>
      <c r="BN281" s="171">
        <f t="shared" si="57"/>
        <v>0</v>
      </c>
      <c r="BO281" s="171">
        <f t="shared" si="57"/>
        <v>0</v>
      </c>
      <c r="BP281" s="171">
        <f t="shared" si="57"/>
        <v>0</v>
      </c>
      <c r="BQ281" s="172">
        <f t="shared" si="57"/>
        <v>0</v>
      </c>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c r="DV281" s="40"/>
      <c r="DW281" s="40"/>
      <c r="DX281" s="40"/>
      <c r="DY281" s="40"/>
      <c r="DZ281" s="40"/>
      <c r="EA281" s="40"/>
      <c r="EB281" s="40"/>
      <c r="EC281" s="40"/>
      <c r="ED281" s="40"/>
      <c r="EE281" s="40"/>
      <c r="EF281" s="40"/>
      <c r="EG281" s="40"/>
      <c r="EH281" s="40"/>
      <c r="EI281" s="40"/>
      <c r="EJ281" s="40"/>
      <c r="EK281" s="40"/>
      <c r="EL281" s="40"/>
      <c r="EM281" s="40"/>
      <c r="EN281" s="40"/>
      <c r="EO281" s="40"/>
      <c r="EP281" s="40"/>
      <c r="EQ281" s="40"/>
      <c r="ER281" s="40"/>
      <c r="ES281" s="40"/>
      <c r="ET281" s="40"/>
      <c r="EU281" s="40"/>
      <c r="EV281" s="40"/>
      <c r="EW281" s="40"/>
      <c r="EX281" s="40"/>
      <c r="EY281" s="40"/>
      <c r="EZ281" s="40"/>
      <c r="FA281" s="40"/>
      <c r="FB281" s="40"/>
      <c r="FC281" s="40"/>
      <c r="FD281" s="40"/>
      <c r="FE281" s="40"/>
      <c r="FF281" s="40"/>
      <c r="FG281" s="40"/>
      <c r="FH281" s="40"/>
      <c r="FI281" s="40"/>
      <c r="FJ281" s="40"/>
      <c r="FK281" s="40"/>
      <c r="FL281" s="40"/>
      <c r="FM281" s="40"/>
      <c r="FN281" s="40"/>
      <c r="FO281" s="40"/>
      <c r="FP281" s="40"/>
      <c r="FQ281" s="40"/>
      <c r="FR281" s="40"/>
      <c r="FS281" s="40"/>
      <c r="FT281" s="40"/>
      <c r="FU281" s="40"/>
      <c r="FV281" s="40"/>
      <c r="FW281" s="40"/>
      <c r="FX281" s="40"/>
      <c r="FY281" s="40"/>
      <c r="FZ281" s="40"/>
      <c r="GA281" s="40"/>
      <c r="GB281" s="40"/>
      <c r="GC281" s="40"/>
      <c r="GD281" s="40"/>
      <c r="GE281" s="40"/>
      <c r="GF281" s="40"/>
      <c r="GG281" s="40"/>
      <c r="GH281" s="40"/>
      <c r="GI281" s="40"/>
      <c r="GJ281" s="40"/>
      <c r="GK281" s="40"/>
      <c r="GL281" s="40"/>
      <c r="GM281" s="40"/>
      <c r="GN281" s="40"/>
      <c r="GO281" s="40"/>
      <c r="GP281" s="40"/>
      <c r="GQ281" s="40"/>
      <c r="GR281" s="40"/>
      <c r="GS281" s="40"/>
      <c r="GT281" s="40"/>
      <c r="GU281" s="40"/>
      <c r="GV281" s="40"/>
      <c r="GW281" s="40"/>
      <c r="GX281" s="40"/>
      <c r="GY281" s="40"/>
      <c r="GZ281" s="40"/>
      <c r="HA281" s="40"/>
      <c r="HB281" s="40"/>
      <c r="HC281" s="40"/>
      <c r="HD281" s="40"/>
      <c r="HE281" s="40"/>
      <c r="HF281" s="40"/>
      <c r="HG281" s="40"/>
      <c r="HH281" s="40"/>
      <c r="HI281" s="40"/>
      <c r="HJ281" s="40"/>
      <c r="HK281" s="40"/>
      <c r="HL281" s="40"/>
      <c r="HM281" s="40"/>
      <c r="HN281" s="40"/>
      <c r="HO281" s="40"/>
      <c r="HP281" s="40"/>
      <c r="HQ281" s="40"/>
      <c r="HR281" s="40"/>
      <c r="HS281" s="40"/>
      <c r="HT281" s="40"/>
      <c r="HU281" s="40"/>
      <c r="HV281" s="40"/>
      <c r="HW281" s="40"/>
      <c r="HX281" s="40"/>
      <c r="HY281" s="40"/>
      <c r="HZ281" s="40"/>
      <c r="IA281" s="40"/>
      <c r="IB281" s="40"/>
      <c r="IC281" s="40"/>
      <c r="ID281" s="40"/>
      <c r="IE281" s="40"/>
      <c r="IF281" s="40"/>
      <c r="IG281" s="40"/>
      <c r="IH281" s="40"/>
      <c r="II281" s="40"/>
      <c r="IJ281" s="40"/>
      <c r="IK281" s="40"/>
      <c r="IL281" s="40"/>
      <c r="IM281" s="40"/>
      <c r="IN281" s="40"/>
      <c r="IO281" s="40"/>
      <c r="IP281" s="40"/>
      <c r="IQ281" s="40"/>
      <c r="IR281" s="40"/>
      <c r="IS281" s="40"/>
      <c r="IT281" s="40"/>
      <c r="IU281" s="40"/>
      <c r="IV281" s="40"/>
      <c r="IW281" s="40"/>
      <c r="IX281" s="40"/>
      <c r="IY281" s="40"/>
      <c r="IZ281" s="40"/>
      <c r="JA281" s="40"/>
      <c r="JB281" s="40"/>
      <c r="JC281" s="40"/>
      <c r="JD281" s="40"/>
      <c r="JE281" s="40"/>
      <c r="JF281" s="40"/>
      <c r="JG281" s="40"/>
      <c r="JH281" s="40"/>
      <c r="JI281" s="40"/>
      <c r="JJ281" s="40"/>
    </row>
    <row r="282" spans="1:270" ht="39.950000000000003" customHeight="1" outlineLevel="1" x14ac:dyDescent="0.3">
      <c r="A282" s="15" t="s">
        <v>363</v>
      </c>
      <c r="B282" s="12" t="s">
        <v>1347</v>
      </c>
      <c r="C282" s="9" t="s">
        <v>30</v>
      </c>
      <c r="D282" s="66">
        <v>241400016600</v>
      </c>
      <c r="E282" s="158">
        <f t="shared" ref="E282:E312" si="58">F282+G282</f>
        <v>130.47927999999999</v>
      </c>
      <c r="F282" s="159">
        <f t="shared" ref="F282:F312" si="59">H282+L282+Q282+Y282+T282+AK282+AP282+AM282+AR282+AU282+AW282+BB282+BJ282</f>
        <v>23.976240000000001</v>
      </c>
      <c r="G282" s="160">
        <f t="shared" ref="G282:G312" si="60">I282+J282+K282+M282+N282+R282+S282+V282+W282+AD282+O282+X282+Z282+AA282+AB282+AC282+AE282+AF282+P282+U282+AG282+AH282+AI282+AO282+AJ282+AL282+AQ282+AN282+AS282+AV282+AX282+AY282+AZ282+BA282+BC282+BD282+BE282+BF282+BG282+BH282+BI282+AT282+BK282+BL282+BN282+BO282+BP282+BQ282+BM282</f>
        <v>106.50304</v>
      </c>
      <c r="H282" s="166"/>
      <c r="I282" s="177"/>
      <c r="J282" s="177"/>
      <c r="K282" s="177"/>
      <c r="L282" s="166"/>
      <c r="M282" s="177"/>
      <c r="N282" s="177"/>
      <c r="O282" s="165"/>
      <c r="P282" s="160"/>
      <c r="Q282" s="178"/>
      <c r="R282" s="177"/>
      <c r="S282" s="177"/>
      <c r="T282" s="159"/>
      <c r="U282" s="160"/>
      <c r="V282" s="177"/>
      <c r="W282" s="177"/>
      <c r="X282" s="160"/>
      <c r="Y282" s="166">
        <v>23.976240000000001</v>
      </c>
      <c r="Z282" s="160">
        <v>7.9920799999999996</v>
      </c>
      <c r="AA282" s="160">
        <v>98.510959999999997</v>
      </c>
      <c r="AB282" s="165"/>
      <c r="AC282" s="165"/>
      <c r="AD282" s="165"/>
      <c r="AE282" s="165"/>
      <c r="AF282" s="160"/>
      <c r="AG282" s="160"/>
      <c r="AH282" s="160"/>
      <c r="AI282" s="160"/>
      <c r="AJ282" s="161"/>
      <c r="AK282" s="162"/>
      <c r="AL282" s="165"/>
      <c r="AM282" s="166"/>
      <c r="AN282" s="165"/>
      <c r="AO282" s="160"/>
      <c r="AP282" s="162"/>
      <c r="AQ282" s="161"/>
      <c r="AR282" s="162"/>
      <c r="AS282" s="161"/>
      <c r="AT282" s="165"/>
      <c r="AU282" s="166"/>
      <c r="AV282" s="165"/>
      <c r="AW282" s="166"/>
      <c r="AX282" s="165"/>
      <c r="AY282" s="165"/>
      <c r="AZ282" s="165"/>
      <c r="BA282" s="165"/>
      <c r="BB282" s="166"/>
      <c r="BC282" s="165"/>
      <c r="BD282" s="165"/>
      <c r="BE282" s="165"/>
      <c r="BF282" s="165"/>
      <c r="BG282" s="165"/>
      <c r="BH282" s="165"/>
      <c r="BI282" s="165"/>
      <c r="BJ282" s="166"/>
      <c r="BK282" s="165"/>
      <c r="BL282" s="165"/>
      <c r="BM282" s="163"/>
      <c r="BN282" s="165"/>
      <c r="BO282" s="165"/>
      <c r="BP282" s="165"/>
      <c r="BQ282" s="167"/>
    </row>
    <row r="283" spans="1:270" ht="39.950000000000003" customHeight="1" outlineLevel="1" x14ac:dyDescent="0.3">
      <c r="A283" s="15" t="s">
        <v>363</v>
      </c>
      <c r="B283" s="12" t="s">
        <v>1520</v>
      </c>
      <c r="C283" s="9" t="s">
        <v>30</v>
      </c>
      <c r="D283" s="66">
        <v>241401130049</v>
      </c>
      <c r="E283" s="158">
        <f t="shared" si="58"/>
        <v>110.92598</v>
      </c>
      <c r="F283" s="159">
        <f t="shared" si="59"/>
        <v>0</v>
      </c>
      <c r="G283" s="160">
        <f t="shared" si="60"/>
        <v>110.92598</v>
      </c>
      <c r="H283" s="166"/>
      <c r="I283" s="165"/>
      <c r="J283" s="160"/>
      <c r="K283" s="160"/>
      <c r="L283" s="166"/>
      <c r="M283" s="165"/>
      <c r="N283" s="165"/>
      <c r="O283" s="165"/>
      <c r="P283" s="160"/>
      <c r="Q283" s="166"/>
      <c r="R283" s="165"/>
      <c r="S283" s="165"/>
      <c r="T283" s="159"/>
      <c r="U283" s="160"/>
      <c r="V283" s="165"/>
      <c r="W283" s="165"/>
      <c r="X283" s="160"/>
      <c r="Y283" s="166"/>
      <c r="Z283" s="160"/>
      <c r="AA283" s="160">
        <v>110.92598</v>
      </c>
      <c r="AB283" s="165"/>
      <c r="AC283" s="165"/>
      <c r="AD283" s="165"/>
      <c r="AE283" s="165"/>
      <c r="AF283" s="160"/>
      <c r="AG283" s="160"/>
      <c r="AH283" s="160"/>
      <c r="AI283" s="160"/>
      <c r="AJ283" s="161"/>
      <c r="AK283" s="162"/>
      <c r="AL283" s="165"/>
      <c r="AM283" s="166"/>
      <c r="AN283" s="165"/>
      <c r="AO283" s="160"/>
      <c r="AP283" s="162"/>
      <c r="AQ283" s="161"/>
      <c r="AR283" s="162"/>
      <c r="AS283" s="161"/>
      <c r="AT283" s="165"/>
      <c r="AU283" s="166"/>
      <c r="AV283" s="165"/>
      <c r="AW283" s="166"/>
      <c r="AX283" s="165"/>
      <c r="AY283" s="165"/>
      <c r="AZ283" s="165"/>
      <c r="BA283" s="165"/>
      <c r="BB283" s="166"/>
      <c r="BC283" s="165"/>
      <c r="BD283" s="165"/>
      <c r="BE283" s="165"/>
      <c r="BF283" s="165"/>
      <c r="BG283" s="165"/>
      <c r="BH283" s="165"/>
      <c r="BI283" s="165"/>
      <c r="BJ283" s="166"/>
      <c r="BK283" s="165"/>
      <c r="BL283" s="165"/>
      <c r="BM283" s="163"/>
      <c r="BN283" s="165"/>
      <c r="BO283" s="165"/>
      <c r="BP283" s="165"/>
      <c r="BQ283" s="167"/>
    </row>
    <row r="284" spans="1:270" ht="39.950000000000003" customHeight="1" outlineLevel="1" x14ac:dyDescent="0.3">
      <c r="A284" s="15" t="s">
        <v>363</v>
      </c>
      <c r="B284" s="12" t="s">
        <v>397</v>
      </c>
      <c r="C284" s="25" t="s">
        <v>30</v>
      </c>
      <c r="D284" s="66" t="s">
        <v>1188</v>
      </c>
      <c r="E284" s="158">
        <f t="shared" si="58"/>
        <v>124.13275000000002</v>
      </c>
      <c r="F284" s="159">
        <f t="shared" si="59"/>
        <v>15.94379</v>
      </c>
      <c r="G284" s="160">
        <f t="shared" si="60"/>
        <v>108.18896000000001</v>
      </c>
      <c r="H284" s="166"/>
      <c r="I284" s="165"/>
      <c r="J284" s="160"/>
      <c r="K284" s="160"/>
      <c r="L284" s="166">
        <v>15.94379</v>
      </c>
      <c r="M284" s="165">
        <v>24.988959999999999</v>
      </c>
      <c r="N284" s="165"/>
      <c r="O284" s="165"/>
      <c r="P284" s="160"/>
      <c r="Q284" s="166"/>
      <c r="R284" s="165"/>
      <c r="S284" s="165"/>
      <c r="T284" s="159"/>
      <c r="U284" s="160"/>
      <c r="V284" s="165"/>
      <c r="W284" s="165">
        <v>83.2</v>
      </c>
      <c r="X284" s="160"/>
      <c r="Y284" s="166"/>
      <c r="Z284" s="160"/>
      <c r="AA284" s="160"/>
      <c r="AB284" s="165"/>
      <c r="AC284" s="165"/>
      <c r="AD284" s="165"/>
      <c r="AE284" s="165"/>
      <c r="AF284" s="160"/>
      <c r="AG284" s="160"/>
      <c r="AH284" s="160"/>
      <c r="AI284" s="160"/>
      <c r="AJ284" s="161"/>
      <c r="AK284" s="162"/>
      <c r="AL284" s="165"/>
      <c r="AM284" s="166"/>
      <c r="AN284" s="165"/>
      <c r="AO284" s="160"/>
      <c r="AP284" s="162"/>
      <c r="AQ284" s="161"/>
      <c r="AR284" s="162"/>
      <c r="AS284" s="161"/>
      <c r="AT284" s="165"/>
      <c r="AU284" s="166"/>
      <c r="AV284" s="165"/>
      <c r="AW284" s="166"/>
      <c r="AX284" s="165"/>
      <c r="AY284" s="165"/>
      <c r="AZ284" s="165"/>
      <c r="BA284" s="165"/>
      <c r="BB284" s="166"/>
      <c r="BC284" s="165"/>
      <c r="BD284" s="165"/>
      <c r="BE284" s="165"/>
      <c r="BF284" s="165"/>
      <c r="BG284" s="165"/>
      <c r="BH284" s="165"/>
      <c r="BI284" s="165"/>
      <c r="BJ284" s="166"/>
      <c r="BK284" s="165"/>
      <c r="BL284" s="165"/>
      <c r="BM284" s="163"/>
      <c r="BN284" s="165"/>
      <c r="BO284" s="165"/>
      <c r="BP284" s="165"/>
      <c r="BQ284" s="167"/>
    </row>
    <row r="285" spans="1:270" ht="39.950000000000003" customHeight="1" outlineLevel="1" x14ac:dyDescent="0.3">
      <c r="A285" s="12" t="s">
        <v>363</v>
      </c>
      <c r="B285" s="12" t="s">
        <v>372</v>
      </c>
      <c r="C285" s="9" t="s">
        <v>30</v>
      </c>
      <c r="D285" s="66" t="s">
        <v>373</v>
      </c>
      <c r="E285" s="158">
        <f t="shared" si="58"/>
        <v>651.36830999999995</v>
      </c>
      <c r="F285" s="159">
        <f t="shared" si="59"/>
        <v>41.494030000000002</v>
      </c>
      <c r="G285" s="160">
        <f t="shared" si="60"/>
        <v>609.87428</v>
      </c>
      <c r="H285" s="166"/>
      <c r="I285" s="165"/>
      <c r="J285" s="160"/>
      <c r="K285" s="160"/>
      <c r="L285" s="166">
        <v>41.494030000000002</v>
      </c>
      <c r="M285" s="165">
        <v>65.034279999999995</v>
      </c>
      <c r="N285" s="165"/>
      <c r="O285" s="165"/>
      <c r="P285" s="160"/>
      <c r="Q285" s="166"/>
      <c r="R285" s="165"/>
      <c r="S285" s="165"/>
      <c r="T285" s="159"/>
      <c r="U285" s="160"/>
      <c r="V285" s="165"/>
      <c r="W285" s="165">
        <v>99.84</v>
      </c>
      <c r="X285" s="160"/>
      <c r="Y285" s="166"/>
      <c r="Z285" s="160"/>
      <c r="AA285" s="160"/>
      <c r="AB285" s="165"/>
      <c r="AC285" s="165"/>
      <c r="AD285" s="165"/>
      <c r="AE285" s="165"/>
      <c r="AF285" s="160"/>
      <c r="AG285" s="160"/>
      <c r="AH285" s="160"/>
      <c r="AI285" s="160"/>
      <c r="AJ285" s="161"/>
      <c r="AK285" s="162"/>
      <c r="AL285" s="165"/>
      <c r="AM285" s="166"/>
      <c r="AN285" s="165"/>
      <c r="AO285" s="160"/>
      <c r="AP285" s="162"/>
      <c r="AQ285" s="161"/>
      <c r="AR285" s="162"/>
      <c r="AS285" s="161"/>
      <c r="AT285" s="165"/>
      <c r="AU285" s="166"/>
      <c r="AV285" s="165"/>
      <c r="AW285" s="166"/>
      <c r="AX285" s="165"/>
      <c r="AY285" s="165"/>
      <c r="AZ285" s="165"/>
      <c r="BA285" s="165"/>
      <c r="BB285" s="166"/>
      <c r="BC285" s="165"/>
      <c r="BD285" s="165"/>
      <c r="BE285" s="165"/>
      <c r="BF285" s="165"/>
      <c r="BG285" s="165"/>
      <c r="BH285" s="165">
        <v>445</v>
      </c>
      <c r="BI285" s="165"/>
      <c r="BJ285" s="166"/>
      <c r="BK285" s="165"/>
      <c r="BL285" s="165"/>
      <c r="BM285" s="163"/>
      <c r="BN285" s="165"/>
      <c r="BO285" s="165"/>
      <c r="BP285" s="165"/>
      <c r="BQ285" s="167"/>
    </row>
    <row r="286" spans="1:270" ht="39.950000000000003" customHeight="1" outlineLevel="1" x14ac:dyDescent="0.3">
      <c r="A286" s="15" t="s">
        <v>363</v>
      </c>
      <c r="B286" s="12" t="s">
        <v>1391</v>
      </c>
      <c r="C286" s="25" t="s">
        <v>30</v>
      </c>
      <c r="D286" s="66">
        <v>241400123024</v>
      </c>
      <c r="E286" s="158">
        <f t="shared" si="58"/>
        <v>44.183239999999998</v>
      </c>
      <c r="F286" s="159">
        <f t="shared" si="59"/>
        <v>17.209890000000001</v>
      </c>
      <c r="G286" s="160">
        <f t="shared" si="60"/>
        <v>26.97335</v>
      </c>
      <c r="H286" s="166"/>
      <c r="I286" s="165"/>
      <c r="J286" s="160"/>
      <c r="K286" s="160"/>
      <c r="L286" s="166">
        <v>17.209890000000001</v>
      </c>
      <c r="M286" s="165">
        <v>26.97335</v>
      </c>
      <c r="N286" s="165"/>
      <c r="O286" s="165"/>
      <c r="P286" s="160"/>
      <c r="Q286" s="166"/>
      <c r="R286" s="165"/>
      <c r="S286" s="165"/>
      <c r="T286" s="159"/>
      <c r="U286" s="160"/>
      <c r="V286" s="165"/>
      <c r="W286" s="165"/>
      <c r="X286" s="160"/>
      <c r="Y286" s="166"/>
      <c r="Z286" s="160"/>
      <c r="AA286" s="160"/>
      <c r="AB286" s="165"/>
      <c r="AC286" s="165"/>
      <c r="AD286" s="165"/>
      <c r="AE286" s="165"/>
      <c r="AF286" s="160"/>
      <c r="AG286" s="160"/>
      <c r="AH286" s="160"/>
      <c r="AI286" s="160"/>
      <c r="AJ286" s="161"/>
      <c r="AK286" s="162"/>
      <c r="AL286" s="165"/>
      <c r="AM286" s="166"/>
      <c r="AN286" s="165"/>
      <c r="AO286" s="160"/>
      <c r="AP286" s="162"/>
      <c r="AQ286" s="161"/>
      <c r="AR286" s="162"/>
      <c r="AS286" s="161"/>
      <c r="AT286" s="165"/>
      <c r="AU286" s="166"/>
      <c r="AV286" s="165"/>
      <c r="AW286" s="166"/>
      <c r="AX286" s="165"/>
      <c r="AY286" s="165"/>
      <c r="AZ286" s="165"/>
      <c r="BA286" s="165"/>
      <c r="BB286" s="166"/>
      <c r="BC286" s="165"/>
      <c r="BD286" s="165"/>
      <c r="BE286" s="165"/>
      <c r="BF286" s="165"/>
      <c r="BG286" s="165"/>
      <c r="BH286" s="165"/>
      <c r="BI286" s="165"/>
      <c r="BJ286" s="166"/>
      <c r="BK286" s="165"/>
      <c r="BL286" s="165"/>
      <c r="BM286" s="163"/>
      <c r="BN286" s="165"/>
      <c r="BO286" s="165"/>
      <c r="BP286" s="165"/>
      <c r="BQ286" s="167"/>
    </row>
    <row r="287" spans="1:270" ht="39.950000000000003" customHeight="1" outlineLevel="1" x14ac:dyDescent="0.3">
      <c r="A287" s="15" t="s">
        <v>363</v>
      </c>
      <c r="B287" s="12" t="s">
        <v>1134</v>
      </c>
      <c r="C287" s="25" t="s">
        <v>30</v>
      </c>
      <c r="D287" s="66" t="s">
        <v>1189</v>
      </c>
      <c r="E287" s="158">
        <f t="shared" si="58"/>
        <v>216.19977</v>
      </c>
      <c r="F287" s="159">
        <f t="shared" si="59"/>
        <v>9.6753800000000005</v>
      </c>
      <c r="G287" s="160">
        <f t="shared" si="60"/>
        <v>206.52439000000001</v>
      </c>
      <c r="H287" s="166"/>
      <c r="I287" s="165"/>
      <c r="J287" s="160"/>
      <c r="K287" s="160"/>
      <c r="L287" s="166">
        <v>9.6753800000000005</v>
      </c>
      <c r="M287" s="165">
        <v>15.164389999999999</v>
      </c>
      <c r="N287" s="165"/>
      <c r="O287" s="165"/>
      <c r="P287" s="160"/>
      <c r="Q287" s="166"/>
      <c r="R287" s="165"/>
      <c r="S287" s="165"/>
      <c r="T287" s="159"/>
      <c r="U287" s="160"/>
      <c r="V287" s="165"/>
      <c r="W287" s="165">
        <v>191.36</v>
      </c>
      <c r="X287" s="160"/>
      <c r="Y287" s="166"/>
      <c r="Z287" s="160"/>
      <c r="AA287" s="160"/>
      <c r="AB287" s="165"/>
      <c r="AC287" s="165"/>
      <c r="AD287" s="165"/>
      <c r="AE287" s="165"/>
      <c r="AF287" s="160"/>
      <c r="AG287" s="160"/>
      <c r="AH287" s="160"/>
      <c r="AI287" s="160"/>
      <c r="AJ287" s="161"/>
      <c r="AK287" s="162"/>
      <c r="AL287" s="165"/>
      <c r="AM287" s="166"/>
      <c r="AN287" s="165"/>
      <c r="AO287" s="160"/>
      <c r="AP287" s="162"/>
      <c r="AQ287" s="161"/>
      <c r="AR287" s="162"/>
      <c r="AS287" s="161"/>
      <c r="AT287" s="165"/>
      <c r="AU287" s="166"/>
      <c r="AV287" s="165"/>
      <c r="AW287" s="166"/>
      <c r="AX287" s="165"/>
      <c r="AY287" s="165"/>
      <c r="AZ287" s="165"/>
      <c r="BA287" s="165"/>
      <c r="BB287" s="166"/>
      <c r="BC287" s="165"/>
      <c r="BD287" s="165"/>
      <c r="BE287" s="165"/>
      <c r="BF287" s="165"/>
      <c r="BG287" s="165"/>
      <c r="BH287" s="165"/>
      <c r="BI287" s="165"/>
      <c r="BJ287" s="166"/>
      <c r="BK287" s="165"/>
      <c r="BL287" s="165"/>
      <c r="BM287" s="163"/>
      <c r="BN287" s="165"/>
      <c r="BO287" s="165"/>
      <c r="BP287" s="165"/>
      <c r="BQ287" s="167"/>
    </row>
    <row r="288" spans="1:270" ht="39.950000000000003" customHeight="1" outlineLevel="1" x14ac:dyDescent="0.3">
      <c r="A288" s="15" t="s">
        <v>363</v>
      </c>
      <c r="B288" s="12" t="s">
        <v>387</v>
      </c>
      <c r="C288" s="25" t="s">
        <v>30</v>
      </c>
      <c r="D288" s="66">
        <v>241400360530</v>
      </c>
      <c r="E288" s="158">
        <f t="shared" si="58"/>
        <v>293.82789000000002</v>
      </c>
      <c r="F288" s="159">
        <f t="shared" si="59"/>
        <v>36.671709999999997</v>
      </c>
      <c r="G288" s="160">
        <f t="shared" si="60"/>
        <v>257.15618000000001</v>
      </c>
      <c r="H288" s="166"/>
      <c r="I288" s="165"/>
      <c r="J288" s="160"/>
      <c r="K288" s="160"/>
      <c r="L288" s="166">
        <v>36.671709999999997</v>
      </c>
      <c r="M288" s="165">
        <v>57.476179999999999</v>
      </c>
      <c r="N288" s="165"/>
      <c r="O288" s="165"/>
      <c r="P288" s="160"/>
      <c r="Q288" s="166"/>
      <c r="R288" s="165"/>
      <c r="S288" s="165"/>
      <c r="T288" s="159"/>
      <c r="U288" s="160"/>
      <c r="V288" s="165"/>
      <c r="W288" s="165">
        <v>199.68</v>
      </c>
      <c r="X288" s="160"/>
      <c r="Y288" s="166"/>
      <c r="Z288" s="160"/>
      <c r="AA288" s="160"/>
      <c r="AB288" s="165"/>
      <c r="AC288" s="165"/>
      <c r="AD288" s="165"/>
      <c r="AE288" s="165"/>
      <c r="AF288" s="160"/>
      <c r="AG288" s="160"/>
      <c r="AH288" s="160"/>
      <c r="AI288" s="160"/>
      <c r="AJ288" s="161"/>
      <c r="AK288" s="162"/>
      <c r="AL288" s="165"/>
      <c r="AM288" s="166"/>
      <c r="AN288" s="165"/>
      <c r="AO288" s="160"/>
      <c r="AP288" s="162"/>
      <c r="AQ288" s="161"/>
      <c r="AR288" s="162"/>
      <c r="AS288" s="161"/>
      <c r="AT288" s="165"/>
      <c r="AU288" s="166"/>
      <c r="AV288" s="165"/>
      <c r="AW288" s="166"/>
      <c r="AX288" s="165"/>
      <c r="AY288" s="165"/>
      <c r="AZ288" s="165"/>
      <c r="BA288" s="165"/>
      <c r="BB288" s="166"/>
      <c r="BC288" s="165"/>
      <c r="BD288" s="165"/>
      <c r="BE288" s="165"/>
      <c r="BF288" s="165"/>
      <c r="BG288" s="165"/>
      <c r="BH288" s="165"/>
      <c r="BI288" s="165"/>
      <c r="BJ288" s="166"/>
      <c r="BK288" s="165"/>
      <c r="BL288" s="165"/>
      <c r="BM288" s="163"/>
      <c r="BN288" s="165"/>
      <c r="BO288" s="165"/>
      <c r="BP288" s="165"/>
      <c r="BQ288" s="167"/>
    </row>
    <row r="289" spans="1:271" ht="39.950000000000003" customHeight="1" outlineLevel="1" x14ac:dyDescent="0.3">
      <c r="A289" s="15" t="s">
        <v>363</v>
      </c>
      <c r="B289" s="12" t="s">
        <v>395</v>
      </c>
      <c r="C289" s="25" t="s">
        <v>30</v>
      </c>
      <c r="D289" s="66" t="s">
        <v>396</v>
      </c>
      <c r="E289" s="158">
        <f t="shared" si="58"/>
        <v>22.128349999999998</v>
      </c>
      <c r="F289" s="159">
        <f t="shared" si="59"/>
        <v>8.6192499999999992</v>
      </c>
      <c r="G289" s="160">
        <f t="shared" si="60"/>
        <v>13.5091</v>
      </c>
      <c r="H289" s="166"/>
      <c r="I289" s="165"/>
      <c r="J289" s="160"/>
      <c r="K289" s="160"/>
      <c r="L289" s="166">
        <v>8.6192499999999992</v>
      </c>
      <c r="M289" s="165">
        <v>13.5091</v>
      </c>
      <c r="N289" s="165"/>
      <c r="O289" s="165"/>
      <c r="P289" s="160"/>
      <c r="Q289" s="166"/>
      <c r="R289" s="165"/>
      <c r="S289" s="165"/>
      <c r="T289" s="159"/>
      <c r="U289" s="160"/>
      <c r="V289" s="165"/>
      <c r="W289" s="165"/>
      <c r="X289" s="160"/>
      <c r="Y289" s="166"/>
      <c r="Z289" s="160"/>
      <c r="AA289" s="160"/>
      <c r="AB289" s="165"/>
      <c r="AC289" s="165"/>
      <c r="AD289" s="165"/>
      <c r="AE289" s="165"/>
      <c r="AF289" s="160"/>
      <c r="AG289" s="160"/>
      <c r="AH289" s="160"/>
      <c r="AI289" s="160"/>
      <c r="AJ289" s="161"/>
      <c r="AK289" s="162"/>
      <c r="AL289" s="165"/>
      <c r="AM289" s="166"/>
      <c r="AN289" s="165"/>
      <c r="AO289" s="160"/>
      <c r="AP289" s="162"/>
      <c r="AQ289" s="161"/>
      <c r="AR289" s="162"/>
      <c r="AS289" s="161"/>
      <c r="AT289" s="165"/>
      <c r="AU289" s="166"/>
      <c r="AV289" s="165"/>
      <c r="AW289" s="166"/>
      <c r="AX289" s="165"/>
      <c r="AY289" s="165"/>
      <c r="AZ289" s="165"/>
      <c r="BA289" s="165"/>
      <c r="BB289" s="166"/>
      <c r="BC289" s="165"/>
      <c r="BD289" s="165"/>
      <c r="BE289" s="165"/>
      <c r="BF289" s="165"/>
      <c r="BG289" s="165"/>
      <c r="BH289" s="165"/>
      <c r="BI289" s="165"/>
      <c r="BJ289" s="166"/>
      <c r="BK289" s="165"/>
      <c r="BL289" s="165"/>
      <c r="BM289" s="163"/>
      <c r="BN289" s="165"/>
      <c r="BO289" s="165"/>
      <c r="BP289" s="165"/>
      <c r="BQ289" s="167"/>
    </row>
    <row r="290" spans="1:271" ht="39.950000000000003" customHeight="1" outlineLevel="1" x14ac:dyDescent="0.3">
      <c r="A290" s="15" t="s">
        <v>363</v>
      </c>
      <c r="B290" s="12" t="s">
        <v>1339</v>
      </c>
      <c r="C290" s="9" t="s">
        <v>30</v>
      </c>
      <c r="D290" s="66">
        <v>241400012691</v>
      </c>
      <c r="E290" s="158">
        <f t="shared" si="58"/>
        <v>324.19535999999999</v>
      </c>
      <c r="F290" s="159">
        <f t="shared" si="59"/>
        <v>126.27791000000001</v>
      </c>
      <c r="G290" s="160">
        <f t="shared" si="60"/>
        <v>197.91745</v>
      </c>
      <c r="H290" s="166"/>
      <c r="I290" s="165"/>
      <c r="J290" s="160"/>
      <c r="K290" s="160"/>
      <c r="L290" s="166">
        <v>126.27791000000001</v>
      </c>
      <c r="M290" s="165">
        <v>197.91745</v>
      </c>
      <c r="N290" s="165"/>
      <c r="O290" s="165"/>
      <c r="P290" s="160"/>
      <c r="Q290" s="166"/>
      <c r="R290" s="165"/>
      <c r="S290" s="165"/>
      <c r="T290" s="159"/>
      <c r="U290" s="160"/>
      <c r="V290" s="165"/>
      <c r="W290" s="165"/>
      <c r="X290" s="160"/>
      <c r="Y290" s="166"/>
      <c r="Z290" s="160"/>
      <c r="AA290" s="160"/>
      <c r="AB290" s="165"/>
      <c r="AC290" s="165"/>
      <c r="AD290" s="165"/>
      <c r="AE290" s="165"/>
      <c r="AF290" s="160"/>
      <c r="AG290" s="160"/>
      <c r="AH290" s="160"/>
      <c r="AI290" s="160"/>
      <c r="AJ290" s="161"/>
      <c r="AK290" s="162"/>
      <c r="AL290" s="165"/>
      <c r="AM290" s="166"/>
      <c r="AN290" s="165"/>
      <c r="AO290" s="160"/>
      <c r="AP290" s="162"/>
      <c r="AQ290" s="161"/>
      <c r="AR290" s="162"/>
      <c r="AS290" s="161"/>
      <c r="AT290" s="165"/>
      <c r="AU290" s="166"/>
      <c r="AV290" s="165"/>
      <c r="AW290" s="166"/>
      <c r="AX290" s="165"/>
      <c r="AY290" s="165"/>
      <c r="AZ290" s="165"/>
      <c r="BA290" s="165"/>
      <c r="BB290" s="166"/>
      <c r="BC290" s="165"/>
      <c r="BD290" s="165"/>
      <c r="BE290" s="165"/>
      <c r="BF290" s="165"/>
      <c r="BG290" s="165"/>
      <c r="BH290" s="165"/>
      <c r="BI290" s="165"/>
      <c r="BJ290" s="166"/>
      <c r="BK290" s="165"/>
      <c r="BL290" s="165"/>
      <c r="BM290" s="163"/>
      <c r="BN290" s="165"/>
      <c r="BO290" s="165"/>
      <c r="BP290" s="165"/>
      <c r="BQ290" s="167"/>
    </row>
    <row r="291" spans="1:271" ht="39.950000000000003" customHeight="1" outlineLevel="1" x14ac:dyDescent="0.3">
      <c r="A291" s="15" t="s">
        <v>363</v>
      </c>
      <c r="B291" s="12" t="s">
        <v>1282</v>
      </c>
      <c r="C291" s="9" t="s">
        <v>30</v>
      </c>
      <c r="D291" s="66" t="s">
        <v>390</v>
      </c>
      <c r="E291" s="158">
        <f t="shared" si="58"/>
        <v>332.8</v>
      </c>
      <c r="F291" s="159">
        <f t="shared" si="59"/>
        <v>0</v>
      </c>
      <c r="G291" s="160">
        <f t="shared" si="60"/>
        <v>332.8</v>
      </c>
      <c r="H291" s="166"/>
      <c r="I291" s="165"/>
      <c r="J291" s="160"/>
      <c r="K291" s="160"/>
      <c r="L291" s="166"/>
      <c r="M291" s="165"/>
      <c r="N291" s="165"/>
      <c r="O291" s="165"/>
      <c r="P291" s="160"/>
      <c r="Q291" s="166"/>
      <c r="R291" s="165"/>
      <c r="S291" s="165"/>
      <c r="T291" s="159"/>
      <c r="U291" s="160"/>
      <c r="V291" s="165"/>
      <c r="W291" s="165">
        <v>332.8</v>
      </c>
      <c r="X291" s="160"/>
      <c r="Y291" s="166"/>
      <c r="Z291" s="160"/>
      <c r="AA291" s="160"/>
      <c r="AB291" s="165"/>
      <c r="AC291" s="165"/>
      <c r="AD291" s="165"/>
      <c r="AE291" s="165"/>
      <c r="AF291" s="160"/>
      <c r="AG291" s="160"/>
      <c r="AH291" s="160"/>
      <c r="AI291" s="160"/>
      <c r="AJ291" s="161"/>
      <c r="AK291" s="162"/>
      <c r="AL291" s="165"/>
      <c r="AM291" s="166"/>
      <c r="AN291" s="165"/>
      <c r="AO291" s="160"/>
      <c r="AP291" s="162"/>
      <c r="AQ291" s="161"/>
      <c r="AR291" s="162"/>
      <c r="AS291" s="161"/>
      <c r="AT291" s="165"/>
      <c r="AU291" s="166"/>
      <c r="AV291" s="165"/>
      <c r="AW291" s="166"/>
      <c r="AX291" s="165"/>
      <c r="AY291" s="165"/>
      <c r="AZ291" s="165"/>
      <c r="BA291" s="165"/>
      <c r="BB291" s="166"/>
      <c r="BC291" s="165"/>
      <c r="BD291" s="165"/>
      <c r="BE291" s="165"/>
      <c r="BF291" s="165"/>
      <c r="BG291" s="165"/>
      <c r="BH291" s="165"/>
      <c r="BI291" s="165"/>
      <c r="BJ291" s="166"/>
      <c r="BK291" s="165"/>
      <c r="BL291" s="165"/>
      <c r="BM291" s="163"/>
      <c r="BN291" s="165"/>
      <c r="BO291" s="165"/>
      <c r="BP291" s="165"/>
      <c r="BQ291" s="167"/>
    </row>
    <row r="292" spans="1:271" ht="39.950000000000003" customHeight="1" outlineLevel="1" x14ac:dyDescent="0.3">
      <c r="A292" s="15" t="s">
        <v>363</v>
      </c>
      <c r="B292" s="12" t="s">
        <v>1414</v>
      </c>
      <c r="C292" s="25" t="s">
        <v>30</v>
      </c>
      <c r="D292" s="66">
        <v>241400916640</v>
      </c>
      <c r="E292" s="158">
        <f t="shared" si="58"/>
        <v>2998.25</v>
      </c>
      <c r="F292" s="159">
        <f t="shared" si="59"/>
        <v>0</v>
      </c>
      <c r="G292" s="160">
        <f t="shared" si="60"/>
        <v>2998.25</v>
      </c>
      <c r="H292" s="166"/>
      <c r="I292" s="165"/>
      <c r="J292" s="160"/>
      <c r="K292" s="160"/>
      <c r="L292" s="166"/>
      <c r="M292" s="165"/>
      <c r="N292" s="165"/>
      <c r="O292" s="165"/>
      <c r="P292" s="160"/>
      <c r="Q292" s="166"/>
      <c r="R292" s="165"/>
      <c r="S292" s="165"/>
      <c r="T292" s="159"/>
      <c r="U292" s="160"/>
      <c r="V292" s="165"/>
      <c r="W292" s="165"/>
      <c r="X292" s="160"/>
      <c r="Y292" s="166"/>
      <c r="Z292" s="160"/>
      <c r="AA292" s="160"/>
      <c r="AB292" s="165"/>
      <c r="AC292" s="165"/>
      <c r="AD292" s="165"/>
      <c r="AE292" s="165"/>
      <c r="AF292" s="160"/>
      <c r="AG292" s="160"/>
      <c r="AH292" s="160"/>
      <c r="AI292" s="160"/>
      <c r="AJ292" s="161">
        <v>2998.25</v>
      </c>
      <c r="AK292" s="162"/>
      <c r="AL292" s="165"/>
      <c r="AM292" s="166"/>
      <c r="AN292" s="165"/>
      <c r="AO292" s="160"/>
      <c r="AP292" s="162"/>
      <c r="AQ292" s="161"/>
      <c r="AR292" s="162"/>
      <c r="AS292" s="161"/>
      <c r="AT292" s="165"/>
      <c r="AU292" s="166"/>
      <c r="AV292" s="165"/>
      <c r="AW292" s="166"/>
      <c r="AX292" s="165"/>
      <c r="AY292" s="165"/>
      <c r="AZ292" s="165"/>
      <c r="BA292" s="165"/>
      <c r="BB292" s="166"/>
      <c r="BC292" s="165"/>
      <c r="BD292" s="165"/>
      <c r="BE292" s="165"/>
      <c r="BF292" s="165"/>
      <c r="BG292" s="165"/>
      <c r="BH292" s="165"/>
      <c r="BI292" s="165"/>
      <c r="BJ292" s="166"/>
      <c r="BK292" s="165"/>
      <c r="BL292" s="165"/>
      <c r="BM292" s="163"/>
      <c r="BN292" s="165"/>
      <c r="BO292" s="165"/>
      <c r="BP292" s="165"/>
      <c r="BQ292" s="167"/>
    </row>
    <row r="293" spans="1:271" ht="39.950000000000003" customHeight="1" outlineLevel="1" x14ac:dyDescent="0.3">
      <c r="A293" s="15" t="s">
        <v>363</v>
      </c>
      <c r="B293" s="12" t="s">
        <v>393</v>
      </c>
      <c r="C293" s="25" t="s">
        <v>30</v>
      </c>
      <c r="D293" s="66" t="s">
        <v>394</v>
      </c>
      <c r="E293" s="158">
        <f t="shared" si="58"/>
        <v>261.23367000000002</v>
      </c>
      <c r="F293" s="159">
        <f t="shared" si="59"/>
        <v>45.447580000000002</v>
      </c>
      <c r="G293" s="160">
        <f t="shared" si="60"/>
        <v>215.78609</v>
      </c>
      <c r="H293" s="166"/>
      <c r="I293" s="165"/>
      <c r="J293" s="160"/>
      <c r="K293" s="160"/>
      <c r="L293" s="166">
        <v>9.9045400000000008</v>
      </c>
      <c r="M293" s="165">
        <v>15.52355</v>
      </c>
      <c r="N293" s="165"/>
      <c r="O293" s="165"/>
      <c r="P293" s="160"/>
      <c r="Q293" s="166"/>
      <c r="R293" s="165"/>
      <c r="S293" s="165"/>
      <c r="T293" s="159"/>
      <c r="U293" s="160"/>
      <c r="V293" s="165"/>
      <c r="W293" s="165"/>
      <c r="X293" s="160"/>
      <c r="Y293" s="166">
        <v>35.543039999999998</v>
      </c>
      <c r="Z293" s="160">
        <v>11.84768</v>
      </c>
      <c r="AA293" s="160">
        <v>188.41486</v>
      </c>
      <c r="AB293" s="165"/>
      <c r="AC293" s="165"/>
      <c r="AD293" s="165"/>
      <c r="AE293" s="165"/>
      <c r="AF293" s="160"/>
      <c r="AG293" s="160"/>
      <c r="AH293" s="160"/>
      <c r="AI293" s="160"/>
      <c r="AJ293" s="161"/>
      <c r="AK293" s="162"/>
      <c r="AL293" s="165"/>
      <c r="AM293" s="166"/>
      <c r="AN293" s="165"/>
      <c r="AO293" s="160"/>
      <c r="AP293" s="162"/>
      <c r="AQ293" s="161"/>
      <c r="AR293" s="162"/>
      <c r="AS293" s="161"/>
      <c r="AT293" s="165"/>
      <c r="AU293" s="166"/>
      <c r="AV293" s="165"/>
      <c r="AW293" s="166"/>
      <c r="AX293" s="165"/>
      <c r="AY293" s="165"/>
      <c r="AZ293" s="165"/>
      <c r="BA293" s="165"/>
      <c r="BB293" s="166"/>
      <c r="BC293" s="165"/>
      <c r="BD293" s="165"/>
      <c r="BE293" s="165"/>
      <c r="BF293" s="165"/>
      <c r="BG293" s="165"/>
      <c r="BH293" s="165"/>
      <c r="BI293" s="165"/>
      <c r="BJ293" s="166"/>
      <c r="BK293" s="165"/>
      <c r="BL293" s="165"/>
      <c r="BM293" s="163"/>
      <c r="BN293" s="165"/>
      <c r="BO293" s="165"/>
      <c r="BP293" s="165"/>
      <c r="BQ293" s="167"/>
    </row>
    <row r="294" spans="1:271" ht="39.950000000000003" customHeight="1" outlineLevel="1" x14ac:dyDescent="0.3">
      <c r="A294" s="15" t="s">
        <v>363</v>
      </c>
      <c r="B294" s="12" t="s">
        <v>1154</v>
      </c>
      <c r="C294" s="25" t="s">
        <v>30</v>
      </c>
      <c r="D294" s="66" t="s">
        <v>1191</v>
      </c>
      <c r="E294" s="158">
        <f t="shared" si="58"/>
        <v>142.85141999999999</v>
      </c>
      <c r="F294" s="159">
        <f t="shared" si="59"/>
        <v>23.433760000000003</v>
      </c>
      <c r="G294" s="160">
        <f t="shared" si="60"/>
        <v>119.41766</v>
      </c>
      <c r="H294" s="166"/>
      <c r="I294" s="165"/>
      <c r="J294" s="160"/>
      <c r="K294" s="160"/>
      <c r="L294" s="166">
        <v>3.1030000000000002</v>
      </c>
      <c r="M294" s="165">
        <v>4.8633899999999999</v>
      </c>
      <c r="N294" s="165"/>
      <c r="O294" s="165"/>
      <c r="P294" s="160"/>
      <c r="Q294" s="166"/>
      <c r="R294" s="165"/>
      <c r="S294" s="165"/>
      <c r="T294" s="159"/>
      <c r="U294" s="160"/>
      <c r="V294" s="165"/>
      <c r="W294" s="165"/>
      <c r="X294" s="160"/>
      <c r="Y294" s="166">
        <v>20.330760000000001</v>
      </c>
      <c r="Z294" s="160">
        <v>6.7769199999999996</v>
      </c>
      <c r="AA294" s="160">
        <v>107.77735</v>
      </c>
      <c r="AB294" s="165"/>
      <c r="AC294" s="165"/>
      <c r="AD294" s="165"/>
      <c r="AE294" s="165"/>
      <c r="AF294" s="160"/>
      <c r="AG294" s="160"/>
      <c r="AH294" s="160"/>
      <c r="AI294" s="160"/>
      <c r="AJ294" s="161"/>
      <c r="AK294" s="162"/>
      <c r="AL294" s="165"/>
      <c r="AM294" s="166"/>
      <c r="AN294" s="165"/>
      <c r="AO294" s="160"/>
      <c r="AP294" s="162"/>
      <c r="AQ294" s="161"/>
      <c r="AR294" s="162"/>
      <c r="AS294" s="161"/>
      <c r="AT294" s="165"/>
      <c r="AU294" s="166"/>
      <c r="AV294" s="165"/>
      <c r="AW294" s="166"/>
      <c r="AX294" s="165"/>
      <c r="AY294" s="165"/>
      <c r="AZ294" s="165"/>
      <c r="BA294" s="165"/>
      <c r="BB294" s="166"/>
      <c r="BC294" s="165"/>
      <c r="BD294" s="165"/>
      <c r="BE294" s="165"/>
      <c r="BF294" s="165"/>
      <c r="BG294" s="165"/>
      <c r="BH294" s="165"/>
      <c r="BI294" s="165"/>
      <c r="BJ294" s="166"/>
      <c r="BK294" s="165"/>
      <c r="BL294" s="165"/>
      <c r="BM294" s="163"/>
      <c r="BN294" s="165"/>
      <c r="BO294" s="165"/>
      <c r="BP294" s="165"/>
      <c r="BQ294" s="167"/>
    </row>
    <row r="295" spans="1:271" ht="39.950000000000003" customHeight="1" outlineLevel="1" x14ac:dyDescent="0.3">
      <c r="A295" s="15" t="s">
        <v>363</v>
      </c>
      <c r="B295" s="12" t="s">
        <v>1152</v>
      </c>
      <c r="C295" s="25" t="s">
        <v>30</v>
      </c>
      <c r="D295" s="66" t="s">
        <v>1190</v>
      </c>
      <c r="E295" s="158">
        <f t="shared" si="58"/>
        <v>83.2</v>
      </c>
      <c r="F295" s="159">
        <f t="shared" si="59"/>
        <v>0</v>
      </c>
      <c r="G295" s="160">
        <f t="shared" si="60"/>
        <v>83.2</v>
      </c>
      <c r="H295" s="166"/>
      <c r="I295" s="165"/>
      <c r="J295" s="160"/>
      <c r="K295" s="160"/>
      <c r="L295" s="166"/>
      <c r="M295" s="165"/>
      <c r="N295" s="165"/>
      <c r="O295" s="165"/>
      <c r="P295" s="160"/>
      <c r="Q295" s="166"/>
      <c r="R295" s="165"/>
      <c r="S295" s="165"/>
      <c r="T295" s="159"/>
      <c r="U295" s="160"/>
      <c r="V295" s="165"/>
      <c r="W295" s="165">
        <v>83.2</v>
      </c>
      <c r="X295" s="160"/>
      <c r="Y295" s="166"/>
      <c r="Z295" s="160"/>
      <c r="AA295" s="160"/>
      <c r="AB295" s="165"/>
      <c r="AC295" s="165"/>
      <c r="AD295" s="165"/>
      <c r="AE295" s="165"/>
      <c r="AF295" s="160"/>
      <c r="AG295" s="160"/>
      <c r="AH295" s="160"/>
      <c r="AI295" s="160"/>
      <c r="AJ295" s="161"/>
      <c r="AK295" s="162"/>
      <c r="AL295" s="165"/>
      <c r="AM295" s="166"/>
      <c r="AN295" s="165"/>
      <c r="AO295" s="160"/>
      <c r="AP295" s="162"/>
      <c r="AQ295" s="161"/>
      <c r="AR295" s="162"/>
      <c r="AS295" s="161"/>
      <c r="AT295" s="165"/>
      <c r="AU295" s="166"/>
      <c r="AV295" s="165"/>
      <c r="AW295" s="166"/>
      <c r="AX295" s="165"/>
      <c r="AY295" s="165"/>
      <c r="AZ295" s="165"/>
      <c r="BA295" s="165"/>
      <c r="BB295" s="166"/>
      <c r="BC295" s="165"/>
      <c r="BD295" s="165"/>
      <c r="BE295" s="165"/>
      <c r="BF295" s="165"/>
      <c r="BG295" s="165"/>
      <c r="BH295" s="165"/>
      <c r="BI295" s="165"/>
      <c r="BJ295" s="166"/>
      <c r="BK295" s="165"/>
      <c r="BL295" s="165"/>
      <c r="BM295" s="163"/>
      <c r="BN295" s="165"/>
      <c r="BO295" s="165"/>
      <c r="BP295" s="165"/>
      <c r="BQ295" s="167"/>
    </row>
    <row r="296" spans="1:271" s="26" customFormat="1" ht="39.950000000000003" customHeight="1" outlineLevel="1" x14ac:dyDescent="0.3">
      <c r="A296" s="15" t="s">
        <v>363</v>
      </c>
      <c r="B296" s="12" t="s">
        <v>1424</v>
      </c>
      <c r="C296" s="25" t="s">
        <v>30</v>
      </c>
      <c r="D296" s="79" t="s">
        <v>1425</v>
      </c>
      <c r="E296" s="158">
        <f t="shared" si="58"/>
        <v>48.6</v>
      </c>
      <c r="F296" s="159">
        <f t="shared" si="59"/>
        <v>0</v>
      </c>
      <c r="G296" s="160">
        <f t="shared" si="60"/>
        <v>48.6</v>
      </c>
      <c r="H296" s="166"/>
      <c r="I296" s="165"/>
      <c r="J296" s="160"/>
      <c r="K296" s="160"/>
      <c r="L296" s="166"/>
      <c r="M296" s="165"/>
      <c r="N296" s="165"/>
      <c r="O296" s="165"/>
      <c r="P296" s="160"/>
      <c r="Q296" s="166"/>
      <c r="R296" s="165"/>
      <c r="S296" s="165">
        <v>48.6</v>
      </c>
      <c r="T296" s="159"/>
      <c r="U296" s="160"/>
      <c r="V296" s="165"/>
      <c r="W296" s="165"/>
      <c r="X296" s="160"/>
      <c r="Y296" s="166"/>
      <c r="Z296" s="160"/>
      <c r="AA296" s="160"/>
      <c r="AB296" s="165"/>
      <c r="AC296" s="165"/>
      <c r="AD296" s="165"/>
      <c r="AE296" s="165"/>
      <c r="AF296" s="160"/>
      <c r="AG296" s="160"/>
      <c r="AH296" s="160"/>
      <c r="AI296" s="160"/>
      <c r="AJ296" s="161"/>
      <c r="AK296" s="162"/>
      <c r="AL296" s="165"/>
      <c r="AM296" s="166"/>
      <c r="AN296" s="165"/>
      <c r="AO296" s="160"/>
      <c r="AP296" s="162"/>
      <c r="AQ296" s="161"/>
      <c r="AR296" s="162"/>
      <c r="AS296" s="161"/>
      <c r="AT296" s="165"/>
      <c r="AU296" s="166"/>
      <c r="AV296" s="165"/>
      <c r="AW296" s="166"/>
      <c r="AX296" s="165"/>
      <c r="AY296" s="165"/>
      <c r="AZ296" s="165"/>
      <c r="BA296" s="165"/>
      <c r="BB296" s="166"/>
      <c r="BC296" s="165"/>
      <c r="BD296" s="165"/>
      <c r="BE296" s="165"/>
      <c r="BF296" s="165"/>
      <c r="BG296" s="165"/>
      <c r="BH296" s="165"/>
      <c r="BI296" s="165"/>
      <c r="BJ296" s="166"/>
      <c r="BK296" s="165"/>
      <c r="BL296" s="165"/>
      <c r="BM296" s="163"/>
      <c r="BN296" s="165"/>
      <c r="BO296" s="165"/>
      <c r="BP296" s="165"/>
      <c r="BQ296" s="167"/>
      <c r="BR296" s="39"/>
      <c r="BS296" s="39"/>
      <c r="BT296" s="39"/>
      <c r="BU296" s="39"/>
      <c r="BV296" s="39"/>
      <c r="BW296" s="39"/>
      <c r="BX296" s="39"/>
      <c r="BY296" s="39"/>
      <c r="BZ296" s="39"/>
      <c r="CA296" s="39"/>
      <c r="CB296" s="39"/>
      <c r="CC296" s="39"/>
      <c r="CD296" s="39"/>
      <c r="CE296" s="39"/>
      <c r="CF296" s="39"/>
      <c r="CG296" s="39"/>
      <c r="CH296" s="39"/>
      <c r="CI296" s="39"/>
      <c r="CJ296" s="39"/>
      <c r="CK296" s="39"/>
      <c r="CL296" s="39"/>
      <c r="CM296" s="39"/>
      <c r="CN296" s="39"/>
      <c r="CO296" s="39"/>
      <c r="CP296" s="39"/>
      <c r="CQ296" s="39"/>
      <c r="CR296" s="39"/>
      <c r="CS296" s="39"/>
      <c r="CT296" s="39"/>
      <c r="CU296" s="39"/>
      <c r="CV296" s="39"/>
      <c r="CW296" s="39"/>
      <c r="CX296" s="39"/>
      <c r="CY296" s="39"/>
      <c r="CZ296" s="39"/>
      <c r="DA296" s="39"/>
      <c r="DB296" s="39"/>
      <c r="DC296" s="39"/>
      <c r="DD296" s="39"/>
      <c r="DE296" s="39"/>
      <c r="DF296" s="39"/>
      <c r="DG296" s="39"/>
      <c r="DH296" s="39"/>
      <c r="DI296" s="39"/>
      <c r="DJ296" s="39"/>
      <c r="DK296" s="39"/>
      <c r="DL296" s="39"/>
      <c r="DM296" s="39"/>
      <c r="DN296" s="39"/>
      <c r="DO296" s="39"/>
      <c r="DP296" s="39"/>
      <c r="DQ296" s="39"/>
      <c r="DR296" s="39"/>
      <c r="DS296" s="39"/>
      <c r="DT296" s="39"/>
      <c r="DU296" s="39"/>
      <c r="DV296" s="39"/>
      <c r="DW296" s="39"/>
      <c r="DX296" s="39"/>
      <c r="DY296" s="39"/>
      <c r="DZ296" s="39"/>
      <c r="EA296" s="39"/>
      <c r="EB296" s="39"/>
      <c r="EC296" s="39"/>
      <c r="ED296" s="39"/>
      <c r="EE296" s="39"/>
      <c r="EF296" s="39"/>
      <c r="EG296" s="39"/>
      <c r="EH296" s="39"/>
      <c r="EI296" s="39"/>
      <c r="EJ296" s="39"/>
      <c r="EK296" s="39"/>
      <c r="EL296" s="39"/>
      <c r="EM296" s="39"/>
      <c r="EN296" s="39"/>
      <c r="EO296" s="39"/>
      <c r="EP296" s="39"/>
      <c r="EQ296" s="39"/>
      <c r="ER296" s="39"/>
      <c r="ES296" s="39"/>
      <c r="ET296" s="39"/>
      <c r="EU296" s="39"/>
      <c r="EV296" s="39"/>
      <c r="EW296" s="39"/>
      <c r="EX296" s="39"/>
      <c r="EY296" s="39"/>
      <c r="EZ296" s="39"/>
      <c r="FA296" s="39"/>
      <c r="FB296" s="39"/>
      <c r="FC296" s="39"/>
      <c r="FD296" s="39"/>
      <c r="FE296" s="39"/>
      <c r="FF296" s="39"/>
      <c r="FG296" s="39"/>
      <c r="FH296" s="39"/>
      <c r="FI296" s="39"/>
      <c r="FJ296" s="39"/>
      <c r="FK296" s="39"/>
      <c r="FL296" s="39"/>
      <c r="FM296" s="39"/>
      <c r="FN296" s="39"/>
      <c r="FO296" s="39"/>
      <c r="FP296" s="39"/>
      <c r="FQ296" s="39"/>
      <c r="FR296" s="39"/>
      <c r="FS296" s="39"/>
      <c r="FT296" s="39"/>
      <c r="FU296" s="39"/>
      <c r="FV296" s="39"/>
      <c r="FW296" s="39"/>
      <c r="FX296" s="39"/>
      <c r="FY296" s="39"/>
      <c r="FZ296" s="39"/>
      <c r="GA296" s="39"/>
      <c r="GB296" s="39"/>
      <c r="GC296" s="39"/>
      <c r="GD296" s="39"/>
      <c r="GE296" s="39"/>
      <c r="GF296" s="39"/>
      <c r="GG296" s="39"/>
      <c r="GH296" s="39"/>
      <c r="GI296" s="39"/>
      <c r="GJ296" s="39"/>
      <c r="GK296" s="39"/>
      <c r="GL296" s="39"/>
      <c r="GM296" s="39"/>
      <c r="GN296" s="39"/>
      <c r="GO296" s="39"/>
      <c r="GP296" s="39"/>
      <c r="GQ296" s="39"/>
      <c r="GR296" s="39"/>
      <c r="GS296" s="39"/>
      <c r="GT296" s="39"/>
      <c r="GU296" s="39"/>
      <c r="GV296" s="39"/>
      <c r="GW296" s="39"/>
      <c r="GX296" s="39"/>
      <c r="GY296" s="39"/>
      <c r="GZ296" s="39"/>
      <c r="HA296" s="39"/>
      <c r="HB296" s="39"/>
      <c r="HC296" s="39"/>
      <c r="HD296" s="39"/>
      <c r="HE296" s="39"/>
      <c r="HF296" s="39"/>
      <c r="HG296" s="39"/>
      <c r="HH296" s="39"/>
      <c r="HI296" s="39"/>
      <c r="HJ296" s="39"/>
      <c r="HK296" s="39"/>
      <c r="HL296" s="39"/>
      <c r="HM296" s="39"/>
      <c r="HN296" s="39"/>
      <c r="HO296" s="39"/>
      <c r="HP296" s="39"/>
      <c r="HQ296" s="39"/>
      <c r="HR296" s="39"/>
      <c r="HS296" s="39"/>
      <c r="HT296" s="39"/>
      <c r="HU296" s="39"/>
      <c r="HV296" s="39"/>
      <c r="HW296" s="39"/>
      <c r="HX296" s="39"/>
      <c r="HY296" s="39"/>
      <c r="HZ296" s="39"/>
      <c r="IA296" s="39"/>
      <c r="IB296" s="39"/>
      <c r="IC296" s="39"/>
      <c r="ID296" s="39"/>
      <c r="IE296" s="39"/>
      <c r="IF296" s="39"/>
      <c r="IG296" s="39"/>
      <c r="IH296" s="39"/>
      <c r="II296" s="39"/>
      <c r="IJ296" s="39"/>
      <c r="IK296" s="39"/>
      <c r="IL296" s="39"/>
      <c r="IM296" s="39"/>
      <c r="IN296" s="39"/>
      <c r="IO296" s="39"/>
      <c r="IP296" s="39"/>
      <c r="IQ296" s="39"/>
      <c r="IR296" s="39"/>
      <c r="IS296" s="39"/>
      <c r="IT296" s="39"/>
      <c r="IU296" s="39"/>
      <c r="IV296" s="39"/>
      <c r="IW296" s="39"/>
      <c r="IX296" s="39"/>
      <c r="IY296" s="39"/>
      <c r="IZ296" s="39"/>
      <c r="JA296" s="39"/>
      <c r="JB296" s="39"/>
      <c r="JC296" s="39"/>
      <c r="JD296" s="39"/>
      <c r="JE296" s="39"/>
      <c r="JF296" s="39"/>
      <c r="JG296" s="39"/>
      <c r="JH296" s="39"/>
      <c r="JI296" s="39"/>
      <c r="JJ296" s="39"/>
      <c r="JK296" s="38"/>
    </row>
    <row r="297" spans="1:271" s="26" customFormat="1" ht="39.950000000000003" customHeight="1" outlineLevel="1" x14ac:dyDescent="0.3">
      <c r="A297" s="15" t="s">
        <v>363</v>
      </c>
      <c r="B297" s="12" t="s">
        <v>388</v>
      </c>
      <c r="C297" s="25" t="s">
        <v>30</v>
      </c>
      <c r="D297" s="66" t="s">
        <v>389</v>
      </c>
      <c r="E297" s="158">
        <f t="shared" si="58"/>
        <v>245.58659</v>
      </c>
      <c r="F297" s="159">
        <f t="shared" si="59"/>
        <v>60.69585</v>
      </c>
      <c r="G297" s="160">
        <f t="shared" si="60"/>
        <v>184.89073999999999</v>
      </c>
      <c r="H297" s="166"/>
      <c r="I297" s="165"/>
      <c r="J297" s="160"/>
      <c r="K297" s="160"/>
      <c r="L297" s="166">
        <v>33.88599</v>
      </c>
      <c r="M297" s="165">
        <v>53.110080000000004</v>
      </c>
      <c r="N297" s="165"/>
      <c r="O297" s="165"/>
      <c r="P297" s="160"/>
      <c r="Q297" s="166"/>
      <c r="R297" s="165"/>
      <c r="S297" s="165"/>
      <c r="T297" s="159"/>
      <c r="U297" s="160"/>
      <c r="V297" s="165"/>
      <c r="W297" s="165"/>
      <c r="X297" s="160"/>
      <c r="Y297" s="166">
        <v>26.80986</v>
      </c>
      <c r="Z297" s="160">
        <v>8.9366199999999996</v>
      </c>
      <c r="AA297" s="160">
        <v>122.84404000000001</v>
      </c>
      <c r="AB297" s="165"/>
      <c r="AC297" s="165"/>
      <c r="AD297" s="165"/>
      <c r="AE297" s="165"/>
      <c r="AF297" s="160"/>
      <c r="AG297" s="160"/>
      <c r="AH297" s="160"/>
      <c r="AI297" s="160"/>
      <c r="AJ297" s="161"/>
      <c r="AK297" s="162"/>
      <c r="AL297" s="165"/>
      <c r="AM297" s="166"/>
      <c r="AN297" s="165"/>
      <c r="AO297" s="160"/>
      <c r="AP297" s="162"/>
      <c r="AQ297" s="161"/>
      <c r="AR297" s="162"/>
      <c r="AS297" s="161"/>
      <c r="AT297" s="165"/>
      <c r="AU297" s="166"/>
      <c r="AV297" s="165"/>
      <c r="AW297" s="166"/>
      <c r="AX297" s="165"/>
      <c r="AY297" s="165"/>
      <c r="AZ297" s="165"/>
      <c r="BA297" s="165"/>
      <c r="BB297" s="166"/>
      <c r="BC297" s="165"/>
      <c r="BD297" s="165"/>
      <c r="BE297" s="165"/>
      <c r="BF297" s="165"/>
      <c r="BG297" s="165"/>
      <c r="BH297" s="165"/>
      <c r="BI297" s="165"/>
      <c r="BJ297" s="166"/>
      <c r="BK297" s="165"/>
      <c r="BL297" s="165"/>
      <c r="BM297" s="163"/>
      <c r="BN297" s="165"/>
      <c r="BO297" s="165"/>
      <c r="BP297" s="165"/>
      <c r="BQ297" s="167"/>
      <c r="BR297" s="39"/>
      <c r="BS297" s="39"/>
      <c r="BT297" s="39"/>
      <c r="BU297" s="39"/>
      <c r="BV297" s="39"/>
      <c r="BW297" s="39"/>
      <c r="BX297" s="39"/>
      <c r="BY297" s="39"/>
      <c r="BZ297" s="39"/>
      <c r="CA297" s="39"/>
      <c r="CB297" s="39"/>
      <c r="CC297" s="39"/>
      <c r="CD297" s="39"/>
      <c r="CE297" s="39"/>
      <c r="CF297" s="39"/>
      <c r="CG297" s="39"/>
      <c r="CH297" s="39"/>
      <c r="CI297" s="39"/>
      <c r="CJ297" s="39"/>
      <c r="CK297" s="39"/>
      <c r="CL297" s="39"/>
      <c r="CM297" s="39"/>
      <c r="CN297" s="39"/>
      <c r="CO297" s="39"/>
      <c r="CP297" s="39"/>
      <c r="CQ297" s="39"/>
      <c r="CR297" s="39"/>
      <c r="CS297" s="39"/>
      <c r="CT297" s="39"/>
      <c r="CU297" s="39"/>
      <c r="CV297" s="39"/>
      <c r="CW297" s="39"/>
      <c r="CX297" s="39"/>
      <c r="CY297" s="39"/>
      <c r="CZ297" s="39"/>
      <c r="DA297" s="39"/>
      <c r="DB297" s="39"/>
      <c r="DC297" s="39"/>
      <c r="DD297" s="39"/>
      <c r="DE297" s="39"/>
      <c r="DF297" s="39"/>
      <c r="DG297" s="39"/>
      <c r="DH297" s="39"/>
      <c r="DI297" s="39"/>
      <c r="DJ297" s="39"/>
      <c r="DK297" s="39"/>
      <c r="DL297" s="39"/>
      <c r="DM297" s="39"/>
      <c r="DN297" s="39"/>
      <c r="DO297" s="39"/>
      <c r="DP297" s="39"/>
      <c r="DQ297" s="39"/>
      <c r="DR297" s="39"/>
      <c r="DS297" s="39"/>
      <c r="DT297" s="39"/>
      <c r="DU297" s="39"/>
      <c r="DV297" s="39"/>
      <c r="DW297" s="39"/>
      <c r="DX297" s="39"/>
      <c r="DY297" s="39"/>
      <c r="DZ297" s="39"/>
      <c r="EA297" s="39"/>
      <c r="EB297" s="39"/>
      <c r="EC297" s="39"/>
      <c r="ED297" s="39"/>
      <c r="EE297" s="39"/>
      <c r="EF297" s="39"/>
      <c r="EG297" s="39"/>
      <c r="EH297" s="39"/>
      <c r="EI297" s="39"/>
      <c r="EJ297" s="39"/>
      <c r="EK297" s="39"/>
      <c r="EL297" s="39"/>
      <c r="EM297" s="39"/>
      <c r="EN297" s="39"/>
      <c r="EO297" s="39"/>
      <c r="EP297" s="39"/>
      <c r="EQ297" s="39"/>
      <c r="ER297" s="39"/>
      <c r="ES297" s="39"/>
      <c r="ET297" s="39"/>
      <c r="EU297" s="39"/>
      <c r="EV297" s="39"/>
      <c r="EW297" s="39"/>
      <c r="EX297" s="39"/>
      <c r="EY297" s="39"/>
      <c r="EZ297" s="39"/>
      <c r="FA297" s="39"/>
      <c r="FB297" s="39"/>
      <c r="FC297" s="39"/>
      <c r="FD297" s="39"/>
      <c r="FE297" s="39"/>
      <c r="FF297" s="39"/>
      <c r="FG297" s="39"/>
      <c r="FH297" s="39"/>
      <c r="FI297" s="39"/>
      <c r="FJ297" s="39"/>
      <c r="FK297" s="39"/>
      <c r="FL297" s="39"/>
      <c r="FM297" s="39"/>
      <c r="FN297" s="39"/>
      <c r="FO297" s="39"/>
      <c r="FP297" s="39"/>
      <c r="FQ297" s="39"/>
      <c r="FR297" s="39"/>
      <c r="FS297" s="39"/>
      <c r="FT297" s="39"/>
      <c r="FU297" s="39"/>
      <c r="FV297" s="39"/>
      <c r="FW297" s="39"/>
      <c r="FX297" s="39"/>
      <c r="FY297" s="39"/>
      <c r="FZ297" s="39"/>
      <c r="GA297" s="39"/>
      <c r="GB297" s="39"/>
      <c r="GC297" s="39"/>
      <c r="GD297" s="39"/>
      <c r="GE297" s="39"/>
      <c r="GF297" s="39"/>
      <c r="GG297" s="39"/>
      <c r="GH297" s="39"/>
      <c r="GI297" s="39"/>
      <c r="GJ297" s="39"/>
      <c r="GK297" s="39"/>
      <c r="GL297" s="39"/>
      <c r="GM297" s="39"/>
      <c r="GN297" s="39"/>
      <c r="GO297" s="39"/>
      <c r="GP297" s="39"/>
      <c r="GQ297" s="39"/>
      <c r="GR297" s="39"/>
      <c r="GS297" s="39"/>
      <c r="GT297" s="39"/>
      <c r="GU297" s="39"/>
      <c r="GV297" s="39"/>
      <c r="GW297" s="39"/>
      <c r="GX297" s="39"/>
      <c r="GY297" s="39"/>
      <c r="GZ297" s="39"/>
      <c r="HA297" s="39"/>
      <c r="HB297" s="39"/>
      <c r="HC297" s="39"/>
      <c r="HD297" s="39"/>
      <c r="HE297" s="39"/>
      <c r="HF297" s="39"/>
      <c r="HG297" s="39"/>
      <c r="HH297" s="39"/>
      <c r="HI297" s="39"/>
      <c r="HJ297" s="39"/>
      <c r="HK297" s="39"/>
      <c r="HL297" s="39"/>
      <c r="HM297" s="39"/>
      <c r="HN297" s="39"/>
      <c r="HO297" s="39"/>
      <c r="HP297" s="39"/>
      <c r="HQ297" s="39"/>
      <c r="HR297" s="39"/>
      <c r="HS297" s="39"/>
      <c r="HT297" s="39"/>
      <c r="HU297" s="39"/>
      <c r="HV297" s="39"/>
      <c r="HW297" s="39"/>
      <c r="HX297" s="39"/>
      <c r="HY297" s="39"/>
      <c r="HZ297" s="39"/>
      <c r="IA297" s="39"/>
      <c r="IB297" s="39"/>
      <c r="IC297" s="39"/>
      <c r="ID297" s="39"/>
      <c r="IE297" s="39"/>
      <c r="IF297" s="39"/>
      <c r="IG297" s="39"/>
      <c r="IH297" s="39"/>
      <c r="II297" s="39"/>
      <c r="IJ297" s="39"/>
      <c r="IK297" s="39"/>
      <c r="IL297" s="39"/>
      <c r="IM297" s="39"/>
      <c r="IN297" s="39"/>
      <c r="IO297" s="39"/>
      <c r="IP297" s="39"/>
      <c r="IQ297" s="39"/>
      <c r="IR297" s="39"/>
      <c r="IS297" s="39"/>
      <c r="IT297" s="39"/>
      <c r="IU297" s="39"/>
      <c r="IV297" s="39"/>
      <c r="IW297" s="39"/>
      <c r="IX297" s="39"/>
      <c r="IY297" s="39"/>
      <c r="IZ297" s="39"/>
      <c r="JA297" s="39"/>
      <c r="JB297" s="39"/>
      <c r="JC297" s="39"/>
      <c r="JD297" s="39"/>
      <c r="JE297" s="39"/>
      <c r="JF297" s="39"/>
      <c r="JG297" s="39"/>
      <c r="JH297" s="39"/>
      <c r="JI297" s="39"/>
      <c r="JJ297" s="39"/>
      <c r="JK297" s="38"/>
    </row>
    <row r="298" spans="1:271" ht="39.950000000000003" customHeight="1" outlineLevel="1" x14ac:dyDescent="0.3">
      <c r="A298" s="15" t="s">
        <v>363</v>
      </c>
      <c r="B298" s="12" t="s">
        <v>1283</v>
      </c>
      <c r="C298" s="9" t="s">
        <v>30</v>
      </c>
      <c r="D298" s="66" t="s">
        <v>391</v>
      </c>
      <c r="E298" s="158">
        <f t="shared" si="58"/>
        <v>985.71051</v>
      </c>
      <c r="F298" s="159">
        <f t="shared" si="59"/>
        <v>84.060730000000007</v>
      </c>
      <c r="G298" s="160">
        <f t="shared" si="60"/>
        <v>901.64977999999996</v>
      </c>
      <c r="H298" s="166"/>
      <c r="I298" s="165"/>
      <c r="J298" s="160"/>
      <c r="K298" s="160"/>
      <c r="L298" s="166">
        <v>84.060730000000007</v>
      </c>
      <c r="M298" s="165">
        <v>131.74977999999999</v>
      </c>
      <c r="N298" s="165"/>
      <c r="O298" s="165"/>
      <c r="P298" s="160"/>
      <c r="Q298" s="166"/>
      <c r="R298" s="165"/>
      <c r="S298" s="165"/>
      <c r="T298" s="159"/>
      <c r="U298" s="160"/>
      <c r="V298" s="165"/>
      <c r="W298" s="165"/>
      <c r="X298" s="160"/>
      <c r="Y298" s="166"/>
      <c r="Z298" s="160"/>
      <c r="AA298" s="160"/>
      <c r="AB298" s="165"/>
      <c r="AC298" s="165"/>
      <c r="AD298" s="165"/>
      <c r="AE298" s="165"/>
      <c r="AF298" s="160"/>
      <c r="AG298" s="160"/>
      <c r="AH298" s="160"/>
      <c r="AI298" s="160"/>
      <c r="AJ298" s="161"/>
      <c r="AK298" s="162"/>
      <c r="AL298" s="165"/>
      <c r="AM298" s="166"/>
      <c r="AN298" s="165"/>
      <c r="AO298" s="160"/>
      <c r="AP298" s="162"/>
      <c r="AQ298" s="161"/>
      <c r="AR298" s="162"/>
      <c r="AS298" s="161"/>
      <c r="AT298" s="165"/>
      <c r="AU298" s="166"/>
      <c r="AV298" s="165"/>
      <c r="AW298" s="166"/>
      <c r="AX298" s="165"/>
      <c r="AY298" s="165"/>
      <c r="AZ298" s="165"/>
      <c r="BA298" s="165"/>
      <c r="BB298" s="166"/>
      <c r="BC298" s="165"/>
      <c r="BD298" s="165"/>
      <c r="BE298" s="165"/>
      <c r="BF298" s="165"/>
      <c r="BG298" s="165"/>
      <c r="BH298" s="165">
        <v>769.9</v>
      </c>
      <c r="BI298" s="165"/>
      <c r="BJ298" s="166"/>
      <c r="BK298" s="165"/>
      <c r="BL298" s="165"/>
      <c r="BM298" s="163"/>
      <c r="BN298" s="165"/>
      <c r="BO298" s="165"/>
      <c r="BP298" s="165"/>
      <c r="BQ298" s="167"/>
    </row>
    <row r="299" spans="1:271" ht="39.950000000000003" customHeight="1" outlineLevel="1" x14ac:dyDescent="0.3">
      <c r="A299" s="15" t="s">
        <v>363</v>
      </c>
      <c r="B299" s="12" t="s">
        <v>1521</v>
      </c>
      <c r="C299" s="9" t="s">
        <v>30</v>
      </c>
      <c r="D299" s="66">
        <v>241401119133</v>
      </c>
      <c r="E299" s="158">
        <f t="shared" si="58"/>
        <v>11.033429999999999</v>
      </c>
      <c r="F299" s="159">
        <f t="shared" si="59"/>
        <v>0</v>
      </c>
      <c r="G299" s="160">
        <f t="shared" si="60"/>
        <v>11.033429999999999</v>
      </c>
      <c r="H299" s="166"/>
      <c r="I299" s="165"/>
      <c r="J299" s="160"/>
      <c r="K299" s="160"/>
      <c r="L299" s="166"/>
      <c r="M299" s="165"/>
      <c r="N299" s="165"/>
      <c r="O299" s="165"/>
      <c r="P299" s="160"/>
      <c r="Q299" s="166"/>
      <c r="R299" s="165"/>
      <c r="S299" s="165"/>
      <c r="T299" s="159"/>
      <c r="U299" s="160"/>
      <c r="V299" s="165"/>
      <c r="W299" s="165"/>
      <c r="X299" s="160"/>
      <c r="Y299" s="166"/>
      <c r="Z299" s="160"/>
      <c r="AA299" s="160">
        <v>11.033429999999999</v>
      </c>
      <c r="AB299" s="165"/>
      <c r="AC299" s="165"/>
      <c r="AD299" s="165"/>
      <c r="AE299" s="165"/>
      <c r="AF299" s="160"/>
      <c r="AG299" s="160"/>
      <c r="AH299" s="160"/>
      <c r="AI299" s="160"/>
      <c r="AJ299" s="161"/>
      <c r="AK299" s="162"/>
      <c r="AL299" s="165"/>
      <c r="AM299" s="166"/>
      <c r="AN299" s="165"/>
      <c r="AO299" s="160"/>
      <c r="AP299" s="162"/>
      <c r="AQ299" s="161"/>
      <c r="AR299" s="162"/>
      <c r="AS299" s="161"/>
      <c r="AT299" s="165"/>
      <c r="AU299" s="166"/>
      <c r="AV299" s="165"/>
      <c r="AW299" s="166"/>
      <c r="AX299" s="165"/>
      <c r="AY299" s="165"/>
      <c r="AZ299" s="165"/>
      <c r="BA299" s="165"/>
      <c r="BB299" s="166"/>
      <c r="BC299" s="165"/>
      <c r="BD299" s="165"/>
      <c r="BE299" s="165"/>
      <c r="BF299" s="165"/>
      <c r="BG299" s="165"/>
      <c r="BH299" s="165"/>
      <c r="BI299" s="165"/>
      <c r="BJ299" s="166"/>
      <c r="BK299" s="165"/>
      <c r="BL299" s="165"/>
      <c r="BM299" s="163"/>
      <c r="BN299" s="165"/>
      <c r="BO299" s="165"/>
      <c r="BP299" s="165"/>
      <c r="BQ299" s="167"/>
    </row>
    <row r="300" spans="1:271" ht="39.950000000000003" customHeight="1" outlineLevel="1" x14ac:dyDescent="0.3">
      <c r="A300" s="15" t="s">
        <v>363</v>
      </c>
      <c r="B300" s="12" t="s">
        <v>392</v>
      </c>
      <c r="C300" s="25" t="s">
        <v>30</v>
      </c>
      <c r="D300" s="79" t="s">
        <v>1385</v>
      </c>
      <c r="E300" s="158">
        <f t="shared" si="58"/>
        <v>330.37603999999999</v>
      </c>
      <c r="F300" s="159">
        <f t="shared" si="59"/>
        <v>31.46322</v>
      </c>
      <c r="G300" s="160">
        <f t="shared" si="60"/>
        <v>298.91282000000001</v>
      </c>
      <c r="H300" s="166"/>
      <c r="I300" s="165"/>
      <c r="J300" s="160"/>
      <c r="K300" s="160"/>
      <c r="L300" s="166">
        <v>31.46322</v>
      </c>
      <c r="M300" s="165">
        <v>49.312820000000002</v>
      </c>
      <c r="N300" s="165"/>
      <c r="O300" s="165"/>
      <c r="P300" s="160"/>
      <c r="Q300" s="166"/>
      <c r="R300" s="165"/>
      <c r="S300" s="165"/>
      <c r="T300" s="159"/>
      <c r="U300" s="160"/>
      <c r="V300" s="165"/>
      <c r="W300" s="165">
        <v>249.6</v>
      </c>
      <c r="X300" s="160"/>
      <c r="Y300" s="166"/>
      <c r="Z300" s="160"/>
      <c r="AA300" s="160"/>
      <c r="AB300" s="165"/>
      <c r="AC300" s="165"/>
      <c r="AD300" s="165"/>
      <c r="AE300" s="165"/>
      <c r="AF300" s="160"/>
      <c r="AG300" s="160"/>
      <c r="AH300" s="160"/>
      <c r="AI300" s="160"/>
      <c r="AJ300" s="161"/>
      <c r="AK300" s="162"/>
      <c r="AL300" s="165"/>
      <c r="AM300" s="166"/>
      <c r="AN300" s="165"/>
      <c r="AO300" s="160"/>
      <c r="AP300" s="162"/>
      <c r="AQ300" s="161"/>
      <c r="AR300" s="162"/>
      <c r="AS300" s="161"/>
      <c r="AT300" s="165"/>
      <c r="AU300" s="166"/>
      <c r="AV300" s="165"/>
      <c r="AW300" s="166"/>
      <c r="AX300" s="165"/>
      <c r="AY300" s="165"/>
      <c r="AZ300" s="165"/>
      <c r="BA300" s="165"/>
      <c r="BB300" s="166"/>
      <c r="BC300" s="165"/>
      <c r="BD300" s="165"/>
      <c r="BE300" s="165"/>
      <c r="BF300" s="165"/>
      <c r="BG300" s="165"/>
      <c r="BH300" s="165"/>
      <c r="BI300" s="165"/>
      <c r="BJ300" s="166"/>
      <c r="BK300" s="165"/>
      <c r="BL300" s="165"/>
      <c r="BM300" s="163"/>
      <c r="BN300" s="165"/>
      <c r="BO300" s="165"/>
      <c r="BP300" s="165"/>
      <c r="BQ300" s="167"/>
    </row>
    <row r="301" spans="1:271" ht="39.950000000000003" customHeight="1" outlineLevel="1" x14ac:dyDescent="0.3">
      <c r="A301" s="15" t="s">
        <v>363</v>
      </c>
      <c r="B301" s="12" t="s">
        <v>398</v>
      </c>
      <c r="C301" s="9" t="s">
        <v>73</v>
      </c>
      <c r="D301" s="66" t="s">
        <v>399</v>
      </c>
      <c r="E301" s="158">
        <f t="shared" si="58"/>
        <v>6561.9362199999996</v>
      </c>
      <c r="F301" s="159">
        <f t="shared" si="59"/>
        <v>2446.5712199999998</v>
      </c>
      <c r="G301" s="160">
        <f t="shared" si="60"/>
        <v>4115.3649999999998</v>
      </c>
      <c r="H301" s="166"/>
      <c r="I301" s="165"/>
      <c r="J301" s="160"/>
      <c r="K301" s="160"/>
      <c r="L301" s="166"/>
      <c r="M301" s="165"/>
      <c r="N301" s="165"/>
      <c r="O301" s="165"/>
      <c r="P301" s="160"/>
      <c r="Q301" s="166"/>
      <c r="R301" s="165"/>
      <c r="S301" s="165"/>
      <c r="T301" s="159"/>
      <c r="U301" s="160"/>
      <c r="V301" s="165"/>
      <c r="W301" s="165"/>
      <c r="X301" s="160"/>
      <c r="Y301" s="166"/>
      <c r="Z301" s="160"/>
      <c r="AA301" s="160"/>
      <c r="AB301" s="165"/>
      <c r="AC301" s="165"/>
      <c r="AD301" s="165"/>
      <c r="AE301" s="165"/>
      <c r="AF301" s="160"/>
      <c r="AG301" s="160"/>
      <c r="AH301" s="160"/>
      <c r="AI301" s="160"/>
      <c r="AJ301" s="161"/>
      <c r="AK301" s="162"/>
      <c r="AL301" s="165"/>
      <c r="AM301" s="166"/>
      <c r="AN301" s="165"/>
      <c r="AO301" s="160"/>
      <c r="AP301" s="162"/>
      <c r="AQ301" s="161"/>
      <c r="AR301" s="162">
        <v>2446.5712199999998</v>
      </c>
      <c r="AS301" s="161">
        <v>128.76691</v>
      </c>
      <c r="AT301" s="165">
        <f>88.443+1963.5611+2.88471+816.05068</f>
        <v>2870.9394899999998</v>
      </c>
      <c r="AU301" s="166"/>
      <c r="AV301" s="165"/>
      <c r="AW301" s="166"/>
      <c r="AX301" s="165"/>
      <c r="AY301" s="165"/>
      <c r="AZ301" s="165"/>
      <c r="BA301" s="165"/>
      <c r="BB301" s="166"/>
      <c r="BC301" s="165"/>
      <c r="BD301" s="165"/>
      <c r="BE301" s="165"/>
      <c r="BF301" s="165"/>
      <c r="BG301" s="165"/>
      <c r="BH301" s="165"/>
      <c r="BI301" s="165"/>
      <c r="BJ301" s="166"/>
      <c r="BK301" s="165"/>
      <c r="BL301" s="165"/>
      <c r="BM301" s="163"/>
      <c r="BN301" s="165"/>
      <c r="BO301" s="165">
        <v>1115.6586</v>
      </c>
      <c r="BP301" s="165"/>
      <c r="BQ301" s="167"/>
    </row>
    <row r="302" spans="1:271" ht="39.950000000000003" customHeight="1" outlineLevel="1" x14ac:dyDescent="0.3">
      <c r="A302" s="15" t="s">
        <v>363</v>
      </c>
      <c r="B302" s="12" t="s">
        <v>400</v>
      </c>
      <c r="C302" s="9" t="s">
        <v>73</v>
      </c>
      <c r="D302" s="66" t="s">
        <v>401</v>
      </c>
      <c r="E302" s="158">
        <f t="shared" si="58"/>
        <v>21096.836009999999</v>
      </c>
      <c r="F302" s="159">
        <f t="shared" si="59"/>
        <v>0</v>
      </c>
      <c r="G302" s="160">
        <f t="shared" si="60"/>
        <v>21096.836009999999</v>
      </c>
      <c r="H302" s="166"/>
      <c r="I302" s="165"/>
      <c r="J302" s="160"/>
      <c r="K302" s="160"/>
      <c r="L302" s="166"/>
      <c r="M302" s="165"/>
      <c r="N302" s="165"/>
      <c r="O302" s="165"/>
      <c r="P302" s="160"/>
      <c r="Q302" s="166"/>
      <c r="R302" s="165"/>
      <c r="S302" s="165"/>
      <c r="T302" s="159"/>
      <c r="U302" s="160"/>
      <c r="V302" s="165"/>
      <c r="W302" s="165"/>
      <c r="X302" s="160"/>
      <c r="Y302" s="166"/>
      <c r="Z302" s="160"/>
      <c r="AA302" s="160"/>
      <c r="AB302" s="165"/>
      <c r="AC302" s="165"/>
      <c r="AD302" s="165"/>
      <c r="AE302" s="165"/>
      <c r="AF302" s="160"/>
      <c r="AG302" s="160"/>
      <c r="AH302" s="160"/>
      <c r="AI302" s="160"/>
      <c r="AJ302" s="161"/>
      <c r="AK302" s="162"/>
      <c r="AL302" s="165"/>
      <c r="AM302" s="166"/>
      <c r="AN302" s="165"/>
      <c r="AO302" s="160"/>
      <c r="AP302" s="162"/>
      <c r="AQ302" s="161"/>
      <c r="AR302" s="162"/>
      <c r="AS302" s="161"/>
      <c r="AT302" s="165">
        <f>12628.6284+5835.28339</f>
        <v>18463.911789999998</v>
      </c>
      <c r="AU302" s="166"/>
      <c r="AV302" s="165"/>
      <c r="AW302" s="166"/>
      <c r="AX302" s="165"/>
      <c r="AY302" s="165"/>
      <c r="AZ302" s="165"/>
      <c r="BA302" s="165"/>
      <c r="BB302" s="166"/>
      <c r="BC302" s="165"/>
      <c r="BD302" s="165"/>
      <c r="BE302" s="165">
        <v>770.52602000000002</v>
      </c>
      <c r="BF302" s="165">
        <v>666.22140000000002</v>
      </c>
      <c r="BG302" s="165"/>
      <c r="BH302" s="165"/>
      <c r="BI302" s="165"/>
      <c r="BJ302" s="166"/>
      <c r="BK302" s="165"/>
      <c r="BL302" s="165"/>
      <c r="BM302" s="163"/>
      <c r="BN302" s="165"/>
      <c r="BO302" s="165">
        <v>1196.1768</v>
      </c>
      <c r="BP302" s="165"/>
      <c r="BQ302" s="167"/>
    </row>
    <row r="303" spans="1:271" ht="39.950000000000003" customHeight="1" outlineLevel="1" x14ac:dyDescent="0.3">
      <c r="A303" s="15" t="s">
        <v>363</v>
      </c>
      <c r="B303" s="12" t="s">
        <v>364</v>
      </c>
      <c r="C303" s="9" t="s">
        <v>6</v>
      </c>
      <c r="D303" s="66" t="s">
        <v>365</v>
      </c>
      <c r="E303" s="158">
        <f t="shared" si="58"/>
        <v>1501.4712399999999</v>
      </c>
      <c r="F303" s="159">
        <f t="shared" si="59"/>
        <v>584.84070999999994</v>
      </c>
      <c r="G303" s="160">
        <f t="shared" si="60"/>
        <v>916.63052999999991</v>
      </c>
      <c r="H303" s="166"/>
      <c r="I303" s="165"/>
      <c r="J303" s="160"/>
      <c r="K303" s="160"/>
      <c r="L303" s="166">
        <f>227.22355+357.61716</f>
        <v>584.84070999999994</v>
      </c>
      <c r="M303" s="165">
        <f>356.13123+560.4993</f>
        <v>916.63052999999991</v>
      </c>
      <c r="N303" s="165"/>
      <c r="O303" s="165"/>
      <c r="P303" s="160"/>
      <c r="Q303" s="166"/>
      <c r="R303" s="165"/>
      <c r="S303" s="165"/>
      <c r="T303" s="159"/>
      <c r="U303" s="160"/>
      <c r="V303" s="165"/>
      <c r="W303" s="165"/>
      <c r="X303" s="160"/>
      <c r="Y303" s="166"/>
      <c r="Z303" s="160"/>
      <c r="AA303" s="160"/>
      <c r="AB303" s="165"/>
      <c r="AC303" s="165"/>
      <c r="AD303" s="165"/>
      <c r="AE303" s="165"/>
      <c r="AF303" s="160"/>
      <c r="AG303" s="160"/>
      <c r="AH303" s="160"/>
      <c r="AI303" s="160"/>
      <c r="AJ303" s="161"/>
      <c r="AK303" s="162"/>
      <c r="AL303" s="165"/>
      <c r="AM303" s="166"/>
      <c r="AN303" s="165"/>
      <c r="AO303" s="160"/>
      <c r="AP303" s="162"/>
      <c r="AQ303" s="161"/>
      <c r="AR303" s="162"/>
      <c r="AS303" s="161"/>
      <c r="AT303" s="165"/>
      <c r="AU303" s="166"/>
      <c r="AV303" s="165"/>
      <c r="AW303" s="166"/>
      <c r="AX303" s="165"/>
      <c r="AY303" s="165"/>
      <c r="AZ303" s="165"/>
      <c r="BA303" s="165"/>
      <c r="BB303" s="166"/>
      <c r="BC303" s="165"/>
      <c r="BD303" s="165"/>
      <c r="BE303" s="165"/>
      <c r="BF303" s="165"/>
      <c r="BG303" s="165"/>
      <c r="BH303" s="165"/>
      <c r="BI303" s="165"/>
      <c r="BJ303" s="166"/>
      <c r="BK303" s="165"/>
      <c r="BL303" s="165"/>
      <c r="BM303" s="163"/>
      <c r="BN303" s="165"/>
      <c r="BO303" s="165"/>
      <c r="BP303" s="165"/>
      <c r="BQ303" s="167"/>
    </row>
    <row r="304" spans="1:271" ht="39.950000000000003" customHeight="1" outlineLevel="1" x14ac:dyDescent="0.3">
      <c r="A304" s="15" t="s">
        <v>363</v>
      </c>
      <c r="B304" s="12" t="s">
        <v>366</v>
      </c>
      <c r="C304" s="9" t="s">
        <v>6</v>
      </c>
      <c r="D304" s="66" t="s">
        <v>367</v>
      </c>
      <c r="E304" s="158">
        <f t="shared" si="58"/>
        <v>678.74691999999993</v>
      </c>
      <c r="F304" s="159">
        <f t="shared" si="59"/>
        <v>66.694900000000004</v>
      </c>
      <c r="G304" s="160">
        <f t="shared" si="60"/>
        <v>612.05201999999997</v>
      </c>
      <c r="H304" s="166"/>
      <c r="I304" s="165"/>
      <c r="J304" s="160"/>
      <c r="K304" s="160"/>
      <c r="L304" s="166">
        <v>66.694900000000004</v>
      </c>
      <c r="M304" s="165">
        <v>104.53202</v>
      </c>
      <c r="N304" s="165"/>
      <c r="O304" s="165"/>
      <c r="P304" s="160"/>
      <c r="Q304" s="166"/>
      <c r="R304" s="165"/>
      <c r="S304" s="165"/>
      <c r="T304" s="159"/>
      <c r="U304" s="160"/>
      <c r="V304" s="165"/>
      <c r="W304" s="165">
        <v>507.52</v>
      </c>
      <c r="X304" s="160"/>
      <c r="Y304" s="166"/>
      <c r="Z304" s="160"/>
      <c r="AA304" s="160"/>
      <c r="AB304" s="165"/>
      <c r="AC304" s="165"/>
      <c r="AD304" s="165"/>
      <c r="AE304" s="165"/>
      <c r="AF304" s="160"/>
      <c r="AG304" s="160"/>
      <c r="AH304" s="160"/>
      <c r="AI304" s="160"/>
      <c r="AJ304" s="161"/>
      <c r="AK304" s="162"/>
      <c r="AL304" s="165"/>
      <c r="AM304" s="166"/>
      <c r="AN304" s="165"/>
      <c r="AO304" s="160"/>
      <c r="AP304" s="162"/>
      <c r="AQ304" s="161"/>
      <c r="AR304" s="162"/>
      <c r="AS304" s="161"/>
      <c r="AT304" s="165"/>
      <c r="AU304" s="166"/>
      <c r="AV304" s="165"/>
      <c r="AW304" s="166"/>
      <c r="AX304" s="165"/>
      <c r="AY304" s="165"/>
      <c r="AZ304" s="165"/>
      <c r="BA304" s="165"/>
      <c r="BB304" s="166"/>
      <c r="BC304" s="165"/>
      <c r="BD304" s="165"/>
      <c r="BE304" s="165"/>
      <c r="BF304" s="165"/>
      <c r="BG304" s="165"/>
      <c r="BH304" s="165"/>
      <c r="BI304" s="165"/>
      <c r="BJ304" s="166"/>
      <c r="BK304" s="165"/>
      <c r="BL304" s="165"/>
      <c r="BM304" s="163"/>
      <c r="BN304" s="165"/>
      <c r="BO304" s="165"/>
      <c r="BP304" s="165"/>
      <c r="BQ304" s="167"/>
    </row>
    <row r="305" spans="1:270" ht="39.950000000000003" customHeight="1" outlineLevel="1" x14ac:dyDescent="0.3">
      <c r="A305" s="15" t="s">
        <v>363</v>
      </c>
      <c r="B305" s="12" t="s">
        <v>368</v>
      </c>
      <c r="C305" s="9" t="s">
        <v>6</v>
      </c>
      <c r="D305" s="66" t="s">
        <v>369</v>
      </c>
      <c r="E305" s="158">
        <f t="shared" si="58"/>
        <v>2014.1538699999999</v>
      </c>
      <c r="F305" s="159">
        <f t="shared" si="59"/>
        <v>477.99260999999996</v>
      </c>
      <c r="G305" s="160">
        <f t="shared" si="60"/>
        <v>1536.1612599999999</v>
      </c>
      <c r="H305" s="166">
        <v>52.658239999999999</v>
      </c>
      <c r="I305" s="165">
        <v>17.55273</v>
      </c>
      <c r="J305" s="160"/>
      <c r="K305" s="160"/>
      <c r="L305" s="166">
        <v>257.35649999999998</v>
      </c>
      <c r="M305" s="165">
        <v>403.35912000000002</v>
      </c>
      <c r="N305" s="165"/>
      <c r="O305" s="165"/>
      <c r="P305" s="160"/>
      <c r="Q305" s="166"/>
      <c r="R305" s="165"/>
      <c r="S305" s="165">
        <v>39.6</v>
      </c>
      <c r="T305" s="159"/>
      <c r="U305" s="160"/>
      <c r="V305" s="165"/>
      <c r="W305" s="165"/>
      <c r="X305" s="160"/>
      <c r="Y305" s="166">
        <v>104.47190999999999</v>
      </c>
      <c r="Z305" s="160">
        <v>34.823970000000003</v>
      </c>
      <c r="AA305" s="160"/>
      <c r="AB305" s="165"/>
      <c r="AC305" s="165"/>
      <c r="AD305" s="165"/>
      <c r="AE305" s="165"/>
      <c r="AF305" s="160"/>
      <c r="AG305" s="160"/>
      <c r="AH305" s="160"/>
      <c r="AI305" s="160"/>
      <c r="AJ305" s="161"/>
      <c r="AK305" s="162"/>
      <c r="AL305" s="165"/>
      <c r="AM305" s="166"/>
      <c r="AN305" s="165"/>
      <c r="AO305" s="160"/>
      <c r="AP305" s="162"/>
      <c r="AQ305" s="161"/>
      <c r="AR305" s="162"/>
      <c r="AS305" s="161"/>
      <c r="AT305" s="165"/>
      <c r="AU305" s="166"/>
      <c r="AV305" s="165"/>
      <c r="AW305" s="166">
        <v>63.505960000000002</v>
      </c>
      <c r="AX305" s="165">
        <f>4.18443+18.96932</f>
        <v>23.153749999999999</v>
      </c>
      <c r="AY305" s="165"/>
      <c r="AZ305" s="165"/>
      <c r="BA305" s="165">
        <v>123.33072</v>
      </c>
      <c r="BB305" s="166"/>
      <c r="BC305" s="165"/>
      <c r="BD305" s="165"/>
      <c r="BE305" s="165">
        <v>894.34096999999997</v>
      </c>
      <c r="BF305" s="165"/>
      <c r="BG305" s="165"/>
      <c r="BH305" s="165"/>
      <c r="BI305" s="165"/>
      <c r="BJ305" s="166"/>
      <c r="BK305" s="165"/>
      <c r="BL305" s="165"/>
      <c r="BM305" s="163"/>
      <c r="BN305" s="165"/>
      <c r="BO305" s="165"/>
      <c r="BP305" s="165"/>
      <c r="BQ305" s="167"/>
    </row>
    <row r="306" spans="1:270" ht="39.950000000000003" customHeight="1" outlineLevel="1" x14ac:dyDescent="0.3">
      <c r="A306" s="15" t="s">
        <v>363</v>
      </c>
      <c r="B306" s="12" t="s">
        <v>370</v>
      </c>
      <c r="C306" s="9" t="s">
        <v>6</v>
      </c>
      <c r="D306" s="66" t="s">
        <v>371</v>
      </c>
      <c r="E306" s="158">
        <f t="shared" si="58"/>
        <v>3306.9191000000001</v>
      </c>
      <c r="F306" s="159">
        <f t="shared" si="59"/>
        <v>1022.19822</v>
      </c>
      <c r="G306" s="160">
        <f t="shared" si="60"/>
        <v>2284.7208799999999</v>
      </c>
      <c r="H306" s="166">
        <v>533.41575</v>
      </c>
      <c r="I306" s="165">
        <v>177.80525</v>
      </c>
      <c r="J306" s="160"/>
      <c r="K306" s="160"/>
      <c r="L306" s="166">
        <v>488.78246999999999</v>
      </c>
      <c r="M306" s="165">
        <v>766.07686999999999</v>
      </c>
      <c r="N306" s="165"/>
      <c r="O306" s="165">
        <v>580</v>
      </c>
      <c r="P306" s="160"/>
      <c r="Q306" s="166"/>
      <c r="R306" s="165"/>
      <c r="S306" s="165"/>
      <c r="T306" s="159"/>
      <c r="U306" s="160"/>
      <c r="V306" s="165"/>
      <c r="W306" s="165"/>
      <c r="X306" s="160"/>
      <c r="Y306" s="166"/>
      <c r="Z306" s="160"/>
      <c r="AA306" s="160"/>
      <c r="AB306" s="165"/>
      <c r="AC306" s="165"/>
      <c r="AD306" s="165"/>
      <c r="AE306" s="165"/>
      <c r="AF306" s="160"/>
      <c r="AG306" s="160"/>
      <c r="AH306" s="160"/>
      <c r="AI306" s="160"/>
      <c r="AJ306" s="161"/>
      <c r="AK306" s="162"/>
      <c r="AL306" s="165"/>
      <c r="AM306" s="166"/>
      <c r="AN306" s="165"/>
      <c r="AO306" s="160"/>
      <c r="AP306" s="162"/>
      <c r="AQ306" s="161"/>
      <c r="AR306" s="162"/>
      <c r="AS306" s="161"/>
      <c r="AT306" s="165"/>
      <c r="AU306" s="166"/>
      <c r="AV306" s="165"/>
      <c r="AW306" s="166"/>
      <c r="AX306" s="165"/>
      <c r="AY306" s="165"/>
      <c r="AZ306" s="165"/>
      <c r="BA306" s="165"/>
      <c r="BB306" s="166"/>
      <c r="BC306" s="165"/>
      <c r="BD306" s="165"/>
      <c r="BE306" s="165"/>
      <c r="BF306" s="165"/>
      <c r="BG306" s="165">
        <v>760.83875999999998</v>
      </c>
      <c r="BH306" s="165"/>
      <c r="BI306" s="165"/>
      <c r="BJ306" s="166"/>
      <c r="BK306" s="165"/>
      <c r="BL306" s="165"/>
      <c r="BM306" s="163"/>
      <c r="BN306" s="165"/>
      <c r="BO306" s="165"/>
      <c r="BP306" s="165"/>
      <c r="BQ306" s="167"/>
    </row>
    <row r="307" spans="1:270" ht="39.950000000000003" customHeight="1" outlineLevel="1" x14ac:dyDescent="0.3">
      <c r="A307" s="15" t="s">
        <v>363</v>
      </c>
      <c r="B307" s="12" t="s">
        <v>374</v>
      </c>
      <c r="C307" s="9" t="s">
        <v>6</v>
      </c>
      <c r="D307" s="66" t="s">
        <v>375</v>
      </c>
      <c r="E307" s="158">
        <f t="shared" si="58"/>
        <v>17068.008260000002</v>
      </c>
      <c r="F307" s="159">
        <f t="shared" si="59"/>
        <v>5232.4225999999999</v>
      </c>
      <c r="G307" s="160">
        <f t="shared" si="60"/>
        <v>11835.585660000002</v>
      </c>
      <c r="H307" s="166">
        <v>493.40550000000002</v>
      </c>
      <c r="I307" s="165">
        <v>164.46850000000001</v>
      </c>
      <c r="J307" s="160"/>
      <c r="K307" s="160"/>
      <c r="L307" s="166">
        <v>990.74653999999998</v>
      </c>
      <c r="M307" s="165">
        <v>1552.81348</v>
      </c>
      <c r="N307" s="165"/>
      <c r="O307" s="165">
        <v>580</v>
      </c>
      <c r="P307" s="160"/>
      <c r="Q307" s="166">
        <v>3666.7469999999998</v>
      </c>
      <c r="R307" s="165">
        <v>1222.249</v>
      </c>
      <c r="S307" s="165"/>
      <c r="T307" s="159"/>
      <c r="U307" s="160"/>
      <c r="V307" s="165"/>
      <c r="W307" s="165">
        <v>6930.56</v>
      </c>
      <c r="X307" s="160"/>
      <c r="Y307" s="166"/>
      <c r="Z307" s="160"/>
      <c r="AA307" s="160"/>
      <c r="AB307" s="165"/>
      <c r="AC307" s="165"/>
      <c r="AD307" s="165"/>
      <c r="AE307" s="165"/>
      <c r="AF307" s="160"/>
      <c r="AG307" s="160"/>
      <c r="AH307" s="160"/>
      <c r="AI307" s="160"/>
      <c r="AJ307" s="161"/>
      <c r="AK307" s="162"/>
      <c r="AL307" s="165"/>
      <c r="AM307" s="166"/>
      <c r="AN307" s="165"/>
      <c r="AO307" s="160"/>
      <c r="AP307" s="162"/>
      <c r="AQ307" s="161"/>
      <c r="AR307" s="162"/>
      <c r="AS307" s="161"/>
      <c r="AT307" s="165"/>
      <c r="AU307" s="166"/>
      <c r="AV307" s="165"/>
      <c r="AW307" s="166">
        <v>81.523560000000003</v>
      </c>
      <c r="AX307" s="165">
        <f>5.29374+24.35119</f>
        <v>29.644929999999999</v>
      </c>
      <c r="AY307" s="165"/>
      <c r="AZ307" s="165"/>
      <c r="BA307" s="165"/>
      <c r="BB307" s="166"/>
      <c r="BC307" s="165"/>
      <c r="BD307" s="165"/>
      <c r="BE307" s="165">
        <v>1045.18308</v>
      </c>
      <c r="BF307" s="165"/>
      <c r="BG307" s="165">
        <v>310.66667000000001</v>
      </c>
      <c r="BH307" s="165"/>
      <c r="BI307" s="165"/>
      <c r="BJ307" s="166"/>
      <c r="BK307" s="165"/>
      <c r="BL307" s="165"/>
      <c r="BM307" s="163"/>
      <c r="BN307" s="165"/>
      <c r="BO307" s="165"/>
      <c r="BP307" s="165"/>
      <c r="BQ307" s="167"/>
    </row>
    <row r="308" spans="1:270" ht="39.950000000000003" customHeight="1" outlineLevel="1" x14ac:dyDescent="0.3">
      <c r="A308" s="15" t="s">
        <v>363</v>
      </c>
      <c r="B308" s="12" t="s">
        <v>376</v>
      </c>
      <c r="C308" s="9" t="s">
        <v>6</v>
      </c>
      <c r="D308" s="66" t="s">
        <v>377</v>
      </c>
      <c r="E308" s="158">
        <f t="shared" si="58"/>
        <v>1043.3568499999999</v>
      </c>
      <c r="F308" s="159">
        <f t="shared" si="59"/>
        <v>148.69878</v>
      </c>
      <c r="G308" s="160">
        <f t="shared" si="60"/>
        <v>894.65806999999995</v>
      </c>
      <c r="H308" s="166"/>
      <c r="I308" s="165"/>
      <c r="J308" s="160"/>
      <c r="K308" s="160"/>
      <c r="L308" s="166">
        <v>148.69878</v>
      </c>
      <c r="M308" s="165">
        <v>233.05806999999999</v>
      </c>
      <c r="N308" s="165"/>
      <c r="O308" s="165">
        <v>162.4</v>
      </c>
      <c r="P308" s="160"/>
      <c r="Q308" s="166"/>
      <c r="R308" s="165"/>
      <c r="S308" s="165"/>
      <c r="T308" s="159"/>
      <c r="U308" s="160"/>
      <c r="V308" s="165"/>
      <c r="W308" s="165">
        <v>499.2</v>
      </c>
      <c r="X308" s="160"/>
      <c r="Y308" s="166"/>
      <c r="Z308" s="160"/>
      <c r="AA308" s="160"/>
      <c r="AB308" s="165"/>
      <c r="AC308" s="165"/>
      <c r="AD308" s="165"/>
      <c r="AE308" s="165"/>
      <c r="AF308" s="160"/>
      <c r="AG308" s="160"/>
      <c r="AH308" s="160"/>
      <c r="AI308" s="160"/>
      <c r="AJ308" s="161"/>
      <c r="AK308" s="162"/>
      <c r="AL308" s="165"/>
      <c r="AM308" s="166"/>
      <c r="AN308" s="165"/>
      <c r="AO308" s="160"/>
      <c r="AP308" s="162"/>
      <c r="AQ308" s="161"/>
      <c r="AR308" s="162"/>
      <c r="AS308" s="161"/>
      <c r="AT308" s="165"/>
      <c r="AU308" s="166"/>
      <c r="AV308" s="165"/>
      <c r="AW308" s="166"/>
      <c r="AX308" s="165"/>
      <c r="AY308" s="165"/>
      <c r="AZ308" s="165"/>
      <c r="BA308" s="165"/>
      <c r="BB308" s="166"/>
      <c r="BC308" s="165"/>
      <c r="BD308" s="165"/>
      <c r="BE308" s="165"/>
      <c r="BF308" s="165"/>
      <c r="BG308" s="165"/>
      <c r="BH308" s="165"/>
      <c r="BI308" s="165"/>
      <c r="BJ308" s="166"/>
      <c r="BK308" s="165"/>
      <c r="BL308" s="165"/>
      <c r="BM308" s="163"/>
      <c r="BN308" s="165"/>
      <c r="BO308" s="165"/>
      <c r="BP308" s="165"/>
      <c r="BQ308" s="167"/>
    </row>
    <row r="309" spans="1:270" ht="39.950000000000003" customHeight="1" outlineLevel="1" x14ac:dyDescent="0.3">
      <c r="A309" s="15" t="s">
        <v>363</v>
      </c>
      <c r="B309" s="12" t="s">
        <v>378</v>
      </c>
      <c r="C309" s="9" t="s">
        <v>6</v>
      </c>
      <c r="D309" s="66" t="s">
        <v>379</v>
      </c>
      <c r="E309" s="158">
        <f t="shared" si="58"/>
        <v>8371.6541500000003</v>
      </c>
      <c r="F309" s="159">
        <f t="shared" si="59"/>
        <v>3214.5792199999996</v>
      </c>
      <c r="G309" s="160">
        <f t="shared" si="60"/>
        <v>5157.0749300000007</v>
      </c>
      <c r="H309" s="166">
        <v>2204.0182500000001</v>
      </c>
      <c r="I309" s="165">
        <v>734.67274999999995</v>
      </c>
      <c r="J309" s="160"/>
      <c r="K309" s="160"/>
      <c r="L309" s="166">
        <v>803.54594999999995</v>
      </c>
      <c r="M309" s="165">
        <v>1259.4108900000001</v>
      </c>
      <c r="N309" s="165"/>
      <c r="O309" s="165"/>
      <c r="P309" s="160"/>
      <c r="Q309" s="166"/>
      <c r="R309" s="165"/>
      <c r="S309" s="165"/>
      <c r="T309" s="159"/>
      <c r="U309" s="160"/>
      <c r="V309" s="165"/>
      <c r="W309" s="165"/>
      <c r="X309" s="160"/>
      <c r="Y309" s="166"/>
      <c r="Z309" s="160"/>
      <c r="AA309" s="160"/>
      <c r="AB309" s="165"/>
      <c r="AC309" s="165"/>
      <c r="AD309" s="165"/>
      <c r="AE309" s="165"/>
      <c r="AF309" s="160"/>
      <c r="AG309" s="160"/>
      <c r="AH309" s="160"/>
      <c r="AI309" s="160">
        <v>691.42453</v>
      </c>
      <c r="AJ309" s="161"/>
      <c r="AK309" s="162"/>
      <c r="AL309" s="165"/>
      <c r="AM309" s="166"/>
      <c r="AN309" s="165"/>
      <c r="AO309" s="160"/>
      <c r="AP309" s="162"/>
      <c r="AQ309" s="161"/>
      <c r="AR309" s="162"/>
      <c r="AS309" s="161"/>
      <c r="AT309" s="165"/>
      <c r="AU309" s="166"/>
      <c r="AV309" s="165"/>
      <c r="AW309" s="166">
        <f>60.64889+146.36613</f>
        <v>207.01501999999999</v>
      </c>
      <c r="AX309" s="165">
        <f>29.46329+18.11589+43.71976</f>
        <v>91.298940000000002</v>
      </c>
      <c r="AY309" s="165"/>
      <c r="AZ309" s="165"/>
      <c r="BA309" s="165">
        <v>34.434480000000001</v>
      </c>
      <c r="BB309" s="166"/>
      <c r="BC309" s="165"/>
      <c r="BD309" s="165"/>
      <c r="BE309" s="165"/>
      <c r="BF309" s="165"/>
      <c r="BG309" s="165"/>
      <c r="BH309" s="165">
        <v>2345.8333400000001</v>
      </c>
      <c r="BI309" s="165"/>
      <c r="BJ309" s="166"/>
      <c r="BK309" s="165"/>
      <c r="BL309" s="165"/>
      <c r="BM309" s="163"/>
      <c r="BN309" s="165"/>
      <c r="BO309" s="165"/>
      <c r="BP309" s="165"/>
      <c r="BQ309" s="167"/>
    </row>
    <row r="310" spans="1:270" ht="39.950000000000003" customHeight="1" outlineLevel="1" x14ac:dyDescent="0.3">
      <c r="A310" s="19" t="s">
        <v>380</v>
      </c>
      <c r="B310" s="12" t="s">
        <v>381</v>
      </c>
      <c r="C310" s="9" t="s">
        <v>6</v>
      </c>
      <c r="D310" s="66" t="s">
        <v>382</v>
      </c>
      <c r="E310" s="158">
        <f t="shared" si="58"/>
        <v>437.03573999999992</v>
      </c>
      <c r="F310" s="159">
        <f t="shared" si="59"/>
        <v>109.49706</v>
      </c>
      <c r="G310" s="160">
        <f t="shared" si="60"/>
        <v>327.53867999999994</v>
      </c>
      <c r="H310" s="166"/>
      <c r="I310" s="165"/>
      <c r="J310" s="160"/>
      <c r="K310" s="160"/>
      <c r="L310" s="166">
        <v>109.49706</v>
      </c>
      <c r="M310" s="165">
        <v>171.61657</v>
      </c>
      <c r="N310" s="165"/>
      <c r="O310" s="165">
        <v>139.19999999999999</v>
      </c>
      <c r="P310" s="160"/>
      <c r="Q310" s="166"/>
      <c r="R310" s="165"/>
      <c r="S310" s="165"/>
      <c r="T310" s="159"/>
      <c r="U310" s="160"/>
      <c r="V310" s="165"/>
      <c r="W310" s="165"/>
      <c r="X310" s="160"/>
      <c r="Y310" s="166"/>
      <c r="Z310" s="160"/>
      <c r="AA310" s="160"/>
      <c r="AB310" s="165"/>
      <c r="AC310" s="165"/>
      <c r="AD310" s="165"/>
      <c r="AE310" s="165"/>
      <c r="AF310" s="160"/>
      <c r="AG310" s="160"/>
      <c r="AH310" s="160"/>
      <c r="AI310" s="160"/>
      <c r="AJ310" s="161"/>
      <c r="AK310" s="162"/>
      <c r="AL310" s="165"/>
      <c r="AM310" s="166"/>
      <c r="AN310" s="165"/>
      <c r="AO310" s="160"/>
      <c r="AP310" s="162"/>
      <c r="AQ310" s="161"/>
      <c r="AR310" s="162"/>
      <c r="AS310" s="161"/>
      <c r="AT310" s="165"/>
      <c r="AU310" s="166"/>
      <c r="AV310" s="165"/>
      <c r="AW310" s="166"/>
      <c r="AX310" s="165"/>
      <c r="AY310" s="165"/>
      <c r="AZ310" s="165"/>
      <c r="BA310" s="165"/>
      <c r="BB310" s="166"/>
      <c r="BC310" s="165"/>
      <c r="BD310" s="165"/>
      <c r="BE310" s="165">
        <v>16.722110000000001</v>
      </c>
      <c r="BF310" s="165"/>
      <c r="BG310" s="165"/>
      <c r="BH310" s="165"/>
      <c r="BI310" s="165"/>
      <c r="BJ310" s="166"/>
      <c r="BK310" s="165"/>
      <c r="BL310" s="165"/>
      <c r="BM310" s="163"/>
      <c r="BN310" s="165"/>
      <c r="BO310" s="165"/>
      <c r="BP310" s="165"/>
      <c r="BQ310" s="167"/>
    </row>
    <row r="311" spans="1:270" ht="39.950000000000003" customHeight="1" outlineLevel="1" x14ac:dyDescent="0.3">
      <c r="A311" s="15" t="s">
        <v>363</v>
      </c>
      <c r="B311" s="12" t="s">
        <v>383</v>
      </c>
      <c r="C311" s="9" t="s">
        <v>6</v>
      </c>
      <c r="D311" s="66" t="s">
        <v>384</v>
      </c>
      <c r="E311" s="158">
        <f t="shared" si="58"/>
        <v>2343.9322000000002</v>
      </c>
      <c r="F311" s="159">
        <f t="shared" si="59"/>
        <v>272.13497000000001</v>
      </c>
      <c r="G311" s="160">
        <f t="shared" si="60"/>
        <v>2071.7972300000001</v>
      </c>
      <c r="H311" s="166">
        <v>153.95625000000001</v>
      </c>
      <c r="I311" s="165">
        <v>51.318750000000001</v>
      </c>
      <c r="J311" s="160">
        <v>19.5</v>
      </c>
      <c r="K311" s="160"/>
      <c r="L311" s="166">
        <v>118.17872</v>
      </c>
      <c r="M311" s="165">
        <v>185.22348</v>
      </c>
      <c r="N311" s="165"/>
      <c r="O311" s="165"/>
      <c r="P311" s="160"/>
      <c r="Q311" s="166"/>
      <c r="R311" s="165"/>
      <c r="S311" s="165">
        <v>37.314999999999998</v>
      </c>
      <c r="T311" s="159"/>
      <c r="U311" s="160"/>
      <c r="V311" s="165"/>
      <c r="W311" s="165">
        <v>1555.84</v>
      </c>
      <c r="X311" s="160"/>
      <c r="Y311" s="166"/>
      <c r="Z311" s="160"/>
      <c r="AA311" s="160"/>
      <c r="AB311" s="165"/>
      <c r="AC311" s="165"/>
      <c r="AD311" s="165"/>
      <c r="AE311" s="165"/>
      <c r="AF311" s="160"/>
      <c r="AG311" s="160"/>
      <c r="AH311" s="160"/>
      <c r="AI311" s="160"/>
      <c r="AJ311" s="161"/>
      <c r="AK311" s="162"/>
      <c r="AL311" s="165"/>
      <c r="AM311" s="166"/>
      <c r="AN311" s="165"/>
      <c r="AO311" s="160"/>
      <c r="AP311" s="162"/>
      <c r="AQ311" s="161"/>
      <c r="AR311" s="162"/>
      <c r="AS311" s="161"/>
      <c r="AT311" s="165"/>
      <c r="AU311" s="166"/>
      <c r="AV311" s="165"/>
      <c r="AW311" s="166"/>
      <c r="AX311" s="165"/>
      <c r="AY311" s="165"/>
      <c r="AZ311" s="165"/>
      <c r="BA311" s="165"/>
      <c r="BB311" s="166"/>
      <c r="BC311" s="165"/>
      <c r="BD311" s="165"/>
      <c r="BE311" s="165"/>
      <c r="BF311" s="165"/>
      <c r="BG311" s="165"/>
      <c r="BH311" s="165"/>
      <c r="BI311" s="165"/>
      <c r="BJ311" s="166"/>
      <c r="BK311" s="165"/>
      <c r="BL311" s="165"/>
      <c r="BM311" s="163"/>
      <c r="BN311" s="165"/>
      <c r="BO311" s="165">
        <v>222.6</v>
      </c>
      <c r="BP311" s="165"/>
      <c r="BQ311" s="167"/>
    </row>
    <row r="312" spans="1:270" ht="39.950000000000003" customHeight="1" outlineLevel="1" x14ac:dyDescent="0.3">
      <c r="A312" s="15" t="s">
        <v>363</v>
      </c>
      <c r="B312" s="12" t="s">
        <v>385</v>
      </c>
      <c r="C312" s="9" t="s">
        <v>6</v>
      </c>
      <c r="D312" s="66" t="s">
        <v>386</v>
      </c>
      <c r="E312" s="158">
        <f t="shared" si="58"/>
        <v>979.61164999999994</v>
      </c>
      <c r="F312" s="159">
        <f t="shared" si="59"/>
        <v>124.05145999999999</v>
      </c>
      <c r="G312" s="160">
        <f t="shared" si="60"/>
        <v>855.56018999999992</v>
      </c>
      <c r="H312" s="166"/>
      <c r="I312" s="165"/>
      <c r="J312" s="160"/>
      <c r="K312" s="160"/>
      <c r="L312" s="166">
        <v>107.61433</v>
      </c>
      <c r="M312" s="165">
        <v>168.66571999999999</v>
      </c>
      <c r="N312" s="165"/>
      <c r="O312" s="165"/>
      <c r="P312" s="160"/>
      <c r="Q312" s="166"/>
      <c r="R312" s="165"/>
      <c r="S312" s="165"/>
      <c r="T312" s="159"/>
      <c r="U312" s="160"/>
      <c r="V312" s="165"/>
      <c r="W312" s="165">
        <v>673.92</v>
      </c>
      <c r="X312" s="160"/>
      <c r="Y312" s="166"/>
      <c r="Z312" s="160"/>
      <c r="AA312" s="160"/>
      <c r="AB312" s="165"/>
      <c r="AC312" s="165"/>
      <c r="AD312" s="165"/>
      <c r="AE312" s="165"/>
      <c r="AF312" s="160"/>
      <c r="AG312" s="160"/>
      <c r="AH312" s="160"/>
      <c r="AI312" s="160"/>
      <c r="AJ312" s="161"/>
      <c r="AK312" s="162"/>
      <c r="AL312" s="165"/>
      <c r="AM312" s="166"/>
      <c r="AN312" s="165"/>
      <c r="AO312" s="160"/>
      <c r="AP312" s="162"/>
      <c r="AQ312" s="161"/>
      <c r="AR312" s="162"/>
      <c r="AS312" s="161"/>
      <c r="AT312" s="165"/>
      <c r="AU312" s="166"/>
      <c r="AV312" s="165"/>
      <c r="AW312" s="166">
        <v>16.43713</v>
      </c>
      <c r="AX312" s="165">
        <f>1.08116+4.9098</f>
        <v>5.9909599999999994</v>
      </c>
      <c r="AY312" s="165">
        <v>6.9835099999999999</v>
      </c>
      <c r="AZ312" s="165"/>
      <c r="BA312" s="165"/>
      <c r="BB312" s="166"/>
      <c r="BC312" s="165"/>
      <c r="BD312" s="165"/>
      <c r="BE312" s="165"/>
      <c r="BF312" s="165"/>
      <c r="BG312" s="165"/>
      <c r="BH312" s="165"/>
      <c r="BI312" s="165"/>
      <c r="BJ312" s="166"/>
      <c r="BK312" s="165"/>
      <c r="BL312" s="165"/>
      <c r="BM312" s="163"/>
      <c r="BN312" s="165"/>
      <c r="BO312" s="165"/>
      <c r="BP312" s="165"/>
      <c r="BQ312" s="167"/>
    </row>
    <row r="313" spans="1:270" s="34" customFormat="1" ht="39.950000000000003" customHeight="1" x14ac:dyDescent="0.3">
      <c r="A313" s="118" t="s">
        <v>402</v>
      </c>
      <c r="B313" s="115"/>
      <c r="C313" s="116" t="s">
        <v>80</v>
      </c>
      <c r="D313" s="117"/>
      <c r="E313" s="171">
        <f t="shared" ref="E313:AI313" si="61">SUBTOTAL(9,E282:E312)</f>
        <v>72760.7448</v>
      </c>
      <c r="F313" s="171">
        <f t="shared" si="61"/>
        <v>14224.651089999999</v>
      </c>
      <c r="G313" s="171">
        <f t="shared" si="61"/>
        <v>58536.093710000008</v>
      </c>
      <c r="H313" s="171">
        <f t="shared" si="61"/>
        <v>3437.45399</v>
      </c>
      <c r="I313" s="171">
        <f t="shared" si="61"/>
        <v>1145.8179799999998</v>
      </c>
      <c r="J313" s="171">
        <f t="shared" si="61"/>
        <v>19.5</v>
      </c>
      <c r="K313" s="171">
        <f t="shared" si="61"/>
        <v>0</v>
      </c>
      <c r="L313" s="171">
        <f t="shared" si="61"/>
        <v>4094.2654000000002</v>
      </c>
      <c r="M313" s="171">
        <f t="shared" si="61"/>
        <v>6417.01008</v>
      </c>
      <c r="N313" s="171">
        <f t="shared" si="61"/>
        <v>0</v>
      </c>
      <c r="O313" s="171">
        <f>SUBTOTAL(9,O282:O312)</f>
        <v>1461.6000000000001</v>
      </c>
      <c r="P313" s="171">
        <f>SUBTOTAL(9,P282:P312)</f>
        <v>0</v>
      </c>
      <c r="Q313" s="171">
        <f t="shared" si="61"/>
        <v>3666.7469999999998</v>
      </c>
      <c r="R313" s="171">
        <f t="shared" si="61"/>
        <v>1222.249</v>
      </c>
      <c r="S313" s="171">
        <f t="shared" si="61"/>
        <v>125.515</v>
      </c>
      <c r="T313" s="171">
        <f>SUBTOTAL(9,T282:T312)</f>
        <v>0</v>
      </c>
      <c r="U313" s="171">
        <f>SUBTOTAL(9,U282:U312)</f>
        <v>0</v>
      </c>
      <c r="V313" s="171">
        <f t="shared" si="61"/>
        <v>0</v>
      </c>
      <c r="W313" s="171">
        <f t="shared" si="61"/>
        <v>11406.720000000001</v>
      </c>
      <c r="X313" s="171">
        <f>SUBTOTAL(9,X282:X312)</f>
        <v>0</v>
      </c>
      <c r="Y313" s="171">
        <f t="shared" si="61"/>
        <v>211.13180999999997</v>
      </c>
      <c r="Z313" s="171">
        <f t="shared" si="61"/>
        <v>70.37727000000001</v>
      </c>
      <c r="AA313" s="171">
        <f t="shared" si="61"/>
        <v>639.50662</v>
      </c>
      <c r="AB313" s="171">
        <f t="shared" si="61"/>
        <v>0</v>
      </c>
      <c r="AC313" s="171">
        <f t="shared" si="61"/>
        <v>0</v>
      </c>
      <c r="AD313" s="171">
        <f>SUBTOTAL(9,AD282:AD312)</f>
        <v>0</v>
      </c>
      <c r="AE313" s="171">
        <f t="shared" si="61"/>
        <v>0</v>
      </c>
      <c r="AF313" s="171">
        <f t="shared" si="61"/>
        <v>0</v>
      </c>
      <c r="AG313" s="171">
        <f t="shared" si="61"/>
        <v>0</v>
      </c>
      <c r="AH313" s="171">
        <f t="shared" si="61"/>
        <v>0</v>
      </c>
      <c r="AI313" s="171">
        <f t="shared" si="61"/>
        <v>691.42453</v>
      </c>
      <c r="AJ313" s="171">
        <f t="shared" ref="AJ313:BQ313" si="62">SUBTOTAL(9,AJ282:AJ312)</f>
        <v>2998.25</v>
      </c>
      <c r="AK313" s="171">
        <f t="shared" si="62"/>
        <v>0</v>
      </c>
      <c r="AL313" s="171">
        <f t="shared" si="62"/>
        <v>0</v>
      </c>
      <c r="AM313" s="171">
        <f>SUBTOTAL(9,AM282:AM312)</f>
        <v>0</v>
      </c>
      <c r="AN313" s="171">
        <f>SUBTOTAL(9,AN282:AN312)</f>
        <v>0</v>
      </c>
      <c r="AO313" s="171">
        <f>SUBTOTAL(9,AO282:AO312)</f>
        <v>0</v>
      </c>
      <c r="AP313" s="171">
        <f t="shared" si="62"/>
        <v>0</v>
      </c>
      <c r="AQ313" s="171">
        <f t="shared" si="62"/>
        <v>0</v>
      </c>
      <c r="AR313" s="171">
        <f t="shared" si="62"/>
        <v>2446.5712199999998</v>
      </c>
      <c r="AS313" s="171">
        <f t="shared" si="62"/>
        <v>128.76691</v>
      </c>
      <c r="AT313" s="171">
        <f>SUBTOTAL(9,AT282:AT312)</f>
        <v>21334.851279999999</v>
      </c>
      <c r="AU313" s="171">
        <f t="shared" si="62"/>
        <v>0</v>
      </c>
      <c r="AV313" s="171">
        <f t="shared" si="62"/>
        <v>0</v>
      </c>
      <c r="AW313" s="171">
        <f t="shared" si="62"/>
        <v>368.48167000000001</v>
      </c>
      <c r="AX313" s="171">
        <f t="shared" si="62"/>
        <v>150.08858000000001</v>
      </c>
      <c r="AY313" s="171">
        <f t="shared" si="62"/>
        <v>6.9835099999999999</v>
      </c>
      <c r="AZ313" s="171">
        <f t="shared" si="62"/>
        <v>0</v>
      </c>
      <c r="BA313" s="171">
        <f t="shared" si="62"/>
        <v>157.76519999999999</v>
      </c>
      <c r="BB313" s="171">
        <f t="shared" si="62"/>
        <v>0</v>
      </c>
      <c r="BC313" s="171">
        <f t="shared" si="62"/>
        <v>0</v>
      </c>
      <c r="BD313" s="171">
        <f t="shared" si="62"/>
        <v>0</v>
      </c>
      <c r="BE313" s="171">
        <f t="shared" si="62"/>
        <v>2726.7721800000004</v>
      </c>
      <c r="BF313" s="171">
        <f t="shared" si="62"/>
        <v>666.22140000000002</v>
      </c>
      <c r="BG313" s="171">
        <f t="shared" si="62"/>
        <v>1071.5054299999999</v>
      </c>
      <c r="BH313" s="171">
        <f t="shared" si="62"/>
        <v>3560.7333400000002</v>
      </c>
      <c r="BI313" s="171">
        <f t="shared" si="62"/>
        <v>0</v>
      </c>
      <c r="BJ313" s="171">
        <f t="shared" si="62"/>
        <v>0</v>
      </c>
      <c r="BK313" s="171">
        <f t="shared" si="62"/>
        <v>0</v>
      </c>
      <c r="BL313" s="171">
        <f t="shared" si="62"/>
        <v>0</v>
      </c>
      <c r="BM313" s="172">
        <f>SUBTOTAL(9,BM282:BM312)</f>
        <v>0</v>
      </c>
      <c r="BN313" s="171">
        <f t="shared" si="62"/>
        <v>0</v>
      </c>
      <c r="BO313" s="171">
        <f t="shared" si="62"/>
        <v>2534.4353999999998</v>
      </c>
      <c r="BP313" s="171">
        <f t="shared" si="62"/>
        <v>0</v>
      </c>
      <c r="BQ313" s="172">
        <f t="shared" si="62"/>
        <v>0</v>
      </c>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c r="DV313" s="40"/>
      <c r="DW313" s="40"/>
      <c r="DX313" s="40"/>
      <c r="DY313" s="40"/>
      <c r="DZ313" s="40"/>
      <c r="EA313" s="40"/>
      <c r="EB313" s="40"/>
      <c r="EC313" s="40"/>
      <c r="ED313" s="40"/>
      <c r="EE313" s="40"/>
      <c r="EF313" s="40"/>
      <c r="EG313" s="40"/>
      <c r="EH313" s="40"/>
      <c r="EI313" s="40"/>
      <c r="EJ313" s="40"/>
      <c r="EK313" s="40"/>
      <c r="EL313" s="40"/>
      <c r="EM313" s="40"/>
      <c r="EN313" s="40"/>
      <c r="EO313" s="40"/>
      <c r="EP313" s="40"/>
      <c r="EQ313" s="40"/>
      <c r="ER313" s="40"/>
      <c r="ES313" s="40"/>
      <c r="ET313" s="40"/>
      <c r="EU313" s="40"/>
      <c r="EV313" s="40"/>
      <c r="EW313" s="40"/>
      <c r="EX313" s="40"/>
      <c r="EY313" s="40"/>
      <c r="EZ313" s="40"/>
      <c r="FA313" s="40"/>
      <c r="FB313" s="40"/>
      <c r="FC313" s="40"/>
      <c r="FD313" s="40"/>
      <c r="FE313" s="40"/>
      <c r="FF313" s="40"/>
      <c r="FG313" s="40"/>
      <c r="FH313" s="40"/>
      <c r="FI313" s="40"/>
      <c r="FJ313" s="40"/>
      <c r="FK313" s="40"/>
      <c r="FL313" s="40"/>
      <c r="FM313" s="40"/>
      <c r="FN313" s="40"/>
      <c r="FO313" s="40"/>
      <c r="FP313" s="40"/>
      <c r="FQ313" s="40"/>
      <c r="FR313" s="40"/>
      <c r="FS313" s="40"/>
      <c r="FT313" s="40"/>
      <c r="FU313" s="40"/>
      <c r="FV313" s="40"/>
      <c r="FW313" s="40"/>
      <c r="FX313" s="40"/>
      <c r="FY313" s="40"/>
      <c r="FZ313" s="40"/>
      <c r="GA313" s="40"/>
      <c r="GB313" s="40"/>
      <c r="GC313" s="40"/>
      <c r="GD313" s="40"/>
      <c r="GE313" s="40"/>
      <c r="GF313" s="40"/>
      <c r="GG313" s="40"/>
      <c r="GH313" s="40"/>
      <c r="GI313" s="40"/>
      <c r="GJ313" s="40"/>
      <c r="GK313" s="40"/>
      <c r="GL313" s="40"/>
      <c r="GM313" s="40"/>
      <c r="GN313" s="40"/>
      <c r="GO313" s="40"/>
      <c r="GP313" s="40"/>
      <c r="GQ313" s="40"/>
      <c r="GR313" s="40"/>
      <c r="GS313" s="40"/>
      <c r="GT313" s="40"/>
      <c r="GU313" s="40"/>
      <c r="GV313" s="40"/>
      <c r="GW313" s="40"/>
      <c r="GX313" s="40"/>
      <c r="GY313" s="40"/>
      <c r="GZ313" s="40"/>
      <c r="HA313" s="40"/>
      <c r="HB313" s="40"/>
      <c r="HC313" s="40"/>
      <c r="HD313" s="40"/>
      <c r="HE313" s="40"/>
      <c r="HF313" s="40"/>
      <c r="HG313" s="40"/>
      <c r="HH313" s="40"/>
      <c r="HI313" s="40"/>
      <c r="HJ313" s="40"/>
      <c r="HK313" s="40"/>
      <c r="HL313" s="40"/>
      <c r="HM313" s="40"/>
      <c r="HN313" s="40"/>
      <c r="HO313" s="40"/>
      <c r="HP313" s="40"/>
      <c r="HQ313" s="40"/>
      <c r="HR313" s="40"/>
      <c r="HS313" s="40"/>
      <c r="HT313" s="40"/>
      <c r="HU313" s="40"/>
      <c r="HV313" s="40"/>
      <c r="HW313" s="40"/>
      <c r="HX313" s="40"/>
      <c r="HY313" s="40"/>
      <c r="HZ313" s="40"/>
      <c r="IA313" s="40"/>
      <c r="IB313" s="40"/>
      <c r="IC313" s="40"/>
      <c r="ID313" s="40"/>
      <c r="IE313" s="40"/>
      <c r="IF313" s="40"/>
      <c r="IG313" s="40"/>
      <c r="IH313" s="40"/>
      <c r="II313" s="40"/>
      <c r="IJ313" s="40"/>
      <c r="IK313" s="40"/>
      <c r="IL313" s="40"/>
      <c r="IM313" s="40"/>
      <c r="IN313" s="40"/>
      <c r="IO313" s="40"/>
      <c r="IP313" s="40"/>
      <c r="IQ313" s="40"/>
      <c r="IR313" s="40"/>
      <c r="IS313" s="40"/>
      <c r="IT313" s="40"/>
      <c r="IU313" s="40"/>
      <c r="IV313" s="40"/>
      <c r="IW313" s="40"/>
      <c r="IX313" s="40"/>
      <c r="IY313" s="40"/>
      <c r="IZ313" s="40"/>
      <c r="JA313" s="40"/>
      <c r="JB313" s="40"/>
      <c r="JC313" s="40"/>
      <c r="JD313" s="40"/>
      <c r="JE313" s="40"/>
      <c r="JF313" s="40"/>
      <c r="JG313" s="40"/>
      <c r="JH313" s="40"/>
      <c r="JI313" s="40"/>
      <c r="JJ313" s="40"/>
    </row>
    <row r="314" spans="1:270" ht="39.950000000000003" customHeight="1" outlineLevel="1" x14ac:dyDescent="0.3">
      <c r="A314" s="15" t="s">
        <v>403</v>
      </c>
      <c r="B314" s="12" t="s">
        <v>406</v>
      </c>
      <c r="C314" s="9" t="s">
        <v>30</v>
      </c>
      <c r="D314" s="66" t="s">
        <v>407</v>
      </c>
      <c r="E314" s="158">
        <f t="shared" ref="E314:E329" si="63">F314+G314</f>
        <v>22.441780000000001</v>
      </c>
      <c r="F314" s="159">
        <f t="shared" ref="F314:F329" si="64">H314+L314+Q314+Y314+T314+AK314+AP314+AM314+AR314+AU314+AW314+BB314+BJ314</f>
        <v>8.7413399999999992</v>
      </c>
      <c r="G314" s="160">
        <f t="shared" ref="G314:G329" si="65">I314+J314+K314+M314+N314+R314+S314+V314+W314+AD314+O314+X314+Z314+AA314+AB314+AC314+AE314+AF314+P314+U314+AG314+AH314+AI314+AO314+AJ314+AL314+AQ314+AN314+AS314+AV314+AX314+AY314+AZ314+BA314+BC314+BD314+BE314+BF314+BG314+BH314+BI314+AT314+BK314+BL314+BN314+BO314+BP314+BQ314+BM314</f>
        <v>13.70044</v>
      </c>
      <c r="H314" s="166"/>
      <c r="I314" s="165"/>
      <c r="J314" s="160"/>
      <c r="K314" s="160"/>
      <c r="L314" s="166">
        <v>8.7413399999999992</v>
      </c>
      <c r="M314" s="165">
        <v>13.70044</v>
      </c>
      <c r="N314" s="165"/>
      <c r="O314" s="165"/>
      <c r="P314" s="160"/>
      <c r="Q314" s="166"/>
      <c r="R314" s="165"/>
      <c r="S314" s="165"/>
      <c r="T314" s="159"/>
      <c r="U314" s="160"/>
      <c r="V314" s="165"/>
      <c r="W314" s="165"/>
      <c r="X314" s="160"/>
      <c r="Y314" s="166"/>
      <c r="Z314" s="160"/>
      <c r="AA314" s="160"/>
      <c r="AB314" s="165"/>
      <c r="AC314" s="165"/>
      <c r="AD314" s="165"/>
      <c r="AE314" s="165"/>
      <c r="AF314" s="160"/>
      <c r="AG314" s="160"/>
      <c r="AH314" s="160"/>
      <c r="AI314" s="160"/>
      <c r="AJ314" s="161"/>
      <c r="AK314" s="162"/>
      <c r="AL314" s="165"/>
      <c r="AM314" s="166"/>
      <c r="AN314" s="165"/>
      <c r="AO314" s="160"/>
      <c r="AP314" s="162"/>
      <c r="AQ314" s="161"/>
      <c r="AR314" s="162"/>
      <c r="AS314" s="161"/>
      <c r="AT314" s="165"/>
      <c r="AU314" s="166"/>
      <c r="AV314" s="165"/>
      <c r="AW314" s="166"/>
      <c r="AX314" s="165"/>
      <c r="AY314" s="165"/>
      <c r="AZ314" s="165"/>
      <c r="BA314" s="165"/>
      <c r="BB314" s="166"/>
      <c r="BC314" s="165"/>
      <c r="BD314" s="165"/>
      <c r="BE314" s="165"/>
      <c r="BF314" s="165"/>
      <c r="BG314" s="165"/>
      <c r="BH314" s="165"/>
      <c r="BI314" s="165"/>
      <c r="BJ314" s="166"/>
      <c r="BK314" s="165"/>
      <c r="BL314" s="165"/>
      <c r="BM314" s="163"/>
      <c r="BN314" s="165"/>
      <c r="BO314" s="165"/>
      <c r="BP314" s="165"/>
      <c r="BQ314" s="167"/>
    </row>
    <row r="315" spans="1:270" ht="39.950000000000003" customHeight="1" outlineLevel="1" x14ac:dyDescent="0.3">
      <c r="A315" s="15" t="s">
        <v>403</v>
      </c>
      <c r="B315" s="12" t="s">
        <v>1401</v>
      </c>
      <c r="C315" s="9" t="s">
        <v>30</v>
      </c>
      <c r="D315" s="66">
        <v>240102510033</v>
      </c>
      <c r="E315" s="158">
        <f t="shared" si="63"/>
        <v>2229.3010399999998</v>
      </c>
      <c r="F315" s="159">
        <f t="shared" si="64"/>
        <v>61.2</v>
      </c>
      <c r="G315" s="160">
        <f t="shared" si="65"/>
        <v>2168.10104</v>
      </c>
      <c r="H315" s="166"/>
      <c r="I315" s="165"/>
      <c r="J315" s="160"/>
      <c r="K315" s="160"/>
      <c r="L315" s="166"/>
      <c r="M315" s="165"/>
      <c r="N315" s="165"/>
      <c r="O315" s="165"/>
      <c r="P315" s="160"/>
      <c r="Q315" s="166"/>
      <c r="R315" s="165"/>
      <c r="S315" s="165"/>
      <c r="T315" s="159"/>
      <c r="U315" s="160"/>
      <c r="V315" s="165"/>
      <c r="W315" s="165"/>
      <c r="X315" s="160"/>
      <c r="Y315" s="166">
        <v>61.2</v>
      </c>
      <c r="Z315" s="160">
        <v>20.399999999999999</v>
      </c>
      <c r="AA315" s="160">
        <v>269.16179</v>
      </c>
      <c r="AB315" s="165"/>
      <c r="AC315" s="165"/>
      <c r="AD315" s="165"/>
      <c r="AE315" s="165"/>
      <c r="AF315" s="160"/>
      <c r="AG315" s="160"/>
      <c r="AH315" s="160"/>
      <c r="AI315" s="160"/>
      <c r="AJ315" s="161"/>
      <c r="AK315" s="162"/>
      <c r="AL315" s="165"/>
      <c r="AM315" s="166"/>
      <c r="AN315" s="165"/>
      <c r="AO315" s="160"/>
      <c r="AP315" s="162"/>
      <c r="AQ315" s="161"/>
      <c r="AR315" s="162"/>
      <c r="AS315" s="161"/>
      <c r="AT315" s="165"/>
      <c r="AU315" s="166"/>
      <c r="AV315" s="165"/>
      <c r="AW315" s="166"/>
      <c r="AX315" s="165"/>
      <c r="AY315" s="165"/>
      <c r="AZ315" s="165"/>
      <c r="BA315" s="165"/>
      <c r="BB315" s="166"/>
      <c r="BC315" s="165"/>
      <c r="BD315" s="165"/>
      <c r="BE315" s="165"/>
      <c r="BF315" s="165"/>
      <c r="BG315" s="165"/>
      <c r="BH315" s="165"/>
      <c r="BI315" s="165"/>
      <c r="BJ315" s="166"/>
      <c r="BK315" s="165"/>
      <c r="BL315" s="165">
        <v>1878.53925</v>
      </c>
      <c r="BM315" s="163"/>
      <c r="BN315" s="165"/>
      <c r="BO315" s="165"/>
      <c r="BP315" s="165"/>
      <c r="BQ315" s="167"/>
    </row>
    <row r="316" spans="1:270" ht="39.950000000000003" customHeight="1" outlineLevel="1" x14ac:dyDescent="0.3">
      <c r="A316" s="15" t="s">
        <v>403</v>
      </c>
      <c r="B316" s="12" t="s">
        <v>408</v>
      </c>
      <c r="C316" s="9" t="s">
        <v>30</v>
      </c>
      <c r="D316" s="66">
        <v>241500271210</v>
      </c>
      <c r="E316" s="158">
        <f t="shared" si="63"/>
        <v>3553.3412900000003</v>
      </c>
      <c r="F316" s="159">
        <f t="shared" si="64"/>
        <v>407.44306000000006</v>
      </c>
      <c r="G316" s="160">
        <f t="shared" si="65"/>
        <v>3145.8982300000002</v>
      </c>
      <c r="H316" s="166">
        <v>268.91025000000002</v>
      </c>
      <c r="I316" s="165">
        <v>89.636750000000006</v>
      </c>
      <c r="J316" s="160"/>
      <c r="K316" s="160"/>
      <c r="L316" s="166">
        <v>138.53281000000001</v>
      </c>
      <c r="M316" s="165">
        <v>217.12477000000001</v>
      </c>
      <c r="N316" s="165"/>
      <c r="O316" s="165"/>
      <c r="P316" s="160"/>
      <c r="Q316" s="166"/>
      <c r="R316" s="165"/>
      <c r="S316" s="165"/>
      <c r="T316" s="159"/>
      <c r="U316" s="160"/>
      <c r="V316" s="165"/>
      <c r="W316" s="165"/>
      <c r="X316" s="160"/>
      <c r="Y316" s="166"/>
      <c r="Z316" s="160"/>
      <c r="AA316" s="160"/>
      <c r="AB316" s="165"/>
      <c r="AC316" s="165"/>
      <c r="AD316" s="165"/>
      <c r="AE316" s="165"/>
      <c r="AF316" s="160"/>
      <c r="AG316" s="160"/>
      <c r="AH316" s="160"/>
      <c r="AI316" s="160"/>
      <c r="AJ316" s="161"/>
      <c r="AK316" s="162"/>
      <c r="AL316" s="165"/>
      <c r="AM316" s="166"/>
      <c r="AN316" s="165"/>
      <c r="AO316" s="160"/>
      <c r="AP316" s="162"/>
      <c r="AQ316" s="161"/>
      <c r="AR316" s="162"/>
      <c r="AS316" s="161"/>
      <c r="AT316" s="165"/>
      <c r="AU316" s="166"/>
      <c r="AV316" s="165"/>
      <c r="AW316" s="166"/>
      <c r="AX316" s="165"/>
      <c r="AY316" s="165"/>
      <c r="AZ316" s="165"/>
      <c r="BA316" s="165"/>
      <c r="BB316" s="166"/>
      <c r="BC316" s="165"/>
      <c r="BD316" s="165"/>
      <c r="BE316" s="165"/>
      <c r="BF316" s="165"/>
      <c r="BG316" s="165"/>
      <c r="BH316" s="165"/>
      <c r="BI316" s="165"/>
      <c r="BJ316" s="166"/>
      <c r="BK316" s="165"/>
      <c r="BL316" s="165">
        <v>2839.1367100000002</v>
      </c>
      <c r="BM316" s="163"/>
      <c r="BN316" s="165"/>
      <c r="BO316" s="165"/>
      <c r="BP316" s="165"/>
      <c r="BQ316" s="167"/>
    </row>
    <row r="317" spans="1:270" ht="39.950000000000003" customHeight="1" outlineLevel="1" x14ac:dyDescent="0.3">
      <c r="A317" s="15" t="s">
        <v>403</v>
      </c>
      <c r="B317" s="12" t="s">
        <v>1461</v>
      </c>
      <c r="C317" s="9" t="s">
        <v>30</v>
      </c>
      <c r="D317" s="66">
        <v>241502278115</v>
      </c>
      <c r="E317" s="158">
        <f t="shared" si="63"/>
        <v>65.716610000000003</v>
      </c>
      <c r="F317" s="159">
        <f t="shared" si="64"/>
        <v>0</v>
      </c>
      <c r="G317" s="160">
        <f t="shared" si="65"/>
        <v>65.716610000000003</v>
      </c>
      <c r="H317" s="166"/>
      <c r="I317" s="165"/>
      <c r="J317" s="160"/>
      <c r="K317" s="160"/>
      <c r="L317" s="166"/>
      <c r="M317" s="165"/>
      <c r="N317" s="165"/>
      <c r="O317" s="165"/>
      <c r="P317" s="160"/>
      <c r="Q317" s="166"/>
      <c r="R317" s="165"/>
      <c r="S317" s="165"/>
      <c r="T317" s="159"/>
      <c r="U317" s="160"/>
      <c r="V317" s="165"/>
      <c r="W317" s="165"/>
      <c r="X317" s="160"/>
      <c r="Y317" s="166"/>
      <c r="Z317" s="160"/>
      <c r="AA317" s="160">
        <v>65.716610000000003</v>
      </c>
      <c r="AB317" s="165"/>
      <c r="AC317" s="165"/>
      <c r="AD317" s="165"/>
      <c r="AE317" s="165"/>
      <c r="AF317" s="160"/>
      <c r="AG317" s="160"/>
      <c r="AH317" s="160"/>
      <c r="AI317" s="160"/>
      <c r="AJ317" s="161"/>
      <c r="AK317" s="162"/>
      <c r="AL317" s="165"/>
      <c r="AM317" s="166"/>
      <c r="AN317" s="165"/>
      <c r="AO317" s="160"/>
      <c r="AP317" s="162"/>
      <c r="AQ317" s="161"/>
      <c r="AR317" s="162"/>
      <c r="AS317" s="161"/>
      <c r="AT317" s="165"/>
      <c r="AU317" s="166"/>
      <c r="AV317" s="165"/>
      <c r="AW317" s="166"/>
      <c r="AX317" s="165"/>
      <c r="AY317" s="165"/>
      <c r="AZ317" s="165"/>
      <c r="BA317" s="165"/>
      <c r="BB317" s="166"/>
      <c r="BC317" s="165"/>
      <c r="BD317" s="165"/>
      <c r="BE317" s="165"/>
      <c r="BF317" s="165"/>
      <c r="BG317" s="165"/>
      <c r="BH317" s="165"/>
      <c r="BI317" s="165"/>
      <c r="BJ317" s="166"/>
      <c r="BK317" s="165"/>
      <c r="BL317" s="165"/>
      <c r="BM317" s="163"/>
      <c r="BN317" s="165"/>
      <c r="BO317" s="165"/>
      <c r="BP317" s="165"/>
      <c r="BQ317" s="167"/>
    </row>
    <row r="318" spans="1:270" ht="39.950000000000003" customHeight="1" outlineLevel="1" x14ac:dyDescent="0.3">
      <c r="A318" s="15" t="s">
        <v>403</v>
      </c>
      <c r="B318" s="12" t="s">
        <v>423</v>
      </c>
      <c r="C318" s="9" t="s">
        <v>30</v>
      </c>
      <c r="D318" s="66" t="s">
        <v>1193</v>
      </c>
      <c r="E318" s="158">
        <f t="shared" si="63"/>
        <v>343.10296</v>
      </c>
      <c r="F318" s="159">
        <f t="shared" si="64"/>
        <v>133.64264</v>
      </c>
      <c r="G318" s="160">
        <f t="shared" si="65"/>
        <v>209.46032</v>
      </c>
      <c r="H318" s="166"/>
      <c r="I318" s="165"/>
      <c r="J318" s="160"/>
      <c r="K318" s="160"/>
      <c r="L318" s="166">
        <v>133.64264</v>
      </c>
      <c r="M318" s="165">
        <v>209.46032</v>
      </c>
      <c r="N318" s="165"/>
      <c r="O318" s="165"/>
      <c r="P318" s="160"/>
      <c r="Q318" s="166"/>
      <c r="R318" s="165"/>
      <c r="S318" s="165"/>
      <c r="T318" s="159"/>
      <c r="U318" s="160"/>
      <c r="V318" s="165"/>
      <c r="W318" s="165"/>
      <c r="X318" s="160"/>
      <c r="Y318" s="166"/>
      <c r="Z318" s="160"/>
      <c r="AA318" s="160"/>
      <c r="AB318" s="165"/>
      <c r="AC318" s="165"/>
      <c r="AD318" s="165"/>
      <c r="AE318" s="165"/>
      <c r="AF318" s="160"/>
      <c r="AG318" s="160"/>
      <c r="AH318" s="160"/>
      <c r="AI318" s="160"/>
      <c r="AJ318" s="161"/>
      <c r="AK318" s="162"/>
      <c r="AL318" s="165"/>
      <c r="AM318" s="166"/>
      <c r="AN318" s="165"/>
      <c r="AO318" s="160"/>
      <c r="AP318" s="162"/>
      <c r="AQ318" s="161"/>
      <c r="AR318" s="162"/>
      <c r="AS318" s="161"/>
      <c r="AT318" s="165"/>
      <c r="AU318" s="166"/>
      <c r="AV318" s="165"/>
      <c r="AW318" s="166"/>
      <c r="AX318" s="165"/>
      <c r="AY318" s="165"/>
      <c r="AZ318" s="165"/>
      <c r="BA318" s="165"/>
      <c r="BB318" s="166"/>
      <c r="BC318" s="165"/>
      <c r="BD318" s="165"/>
      <c r="BE318" s="165"/>
      <c r="BF318" s="165"/>
      <c r="BG318" s="165"/>
      <c r="BH318" s="165"/>
      <c r="BI318" s="165"/>
      <c r="BJ318" s="166"/>
      <c r="BK318" s="165"/>
      <c r="BL318" s="165"/>
      <c r="BM318" s="163"/>
      <c r="BN318" s="165"/>
      <c r="BO318" s="165"/>
      <c r="BP318" s="165"/>
      <c r="BQ318" s="167"/>
    </row>
    <row r="319" spans="1:270" ht="39.950000000000003" customHeight="1" outlineLevel="1" x14ac:dyDescent="0.3">
      <c r="A319" s="15" t="s">
        <v>403</v>
      </c>
      <c r="B319" s="12" t="s">
        <v>419</v>
      </c>
      <c r="C319" s="9" t="s">
        <v>30</v>
      </c>
      <c r="D319" s="68">
        <v>242800670055</v>
      </c>
      <c r="E319" s="158">
        <f t="shared" si="63"/>
        <v>318.34008</v>
      </c>
      <c r="F319" s="159">
        <f t="shared" si="64"/>
        <v>123.99720000000001</v>
      </c>
      <c r="G319" s="160">
        <f t="shared" si="65"/>
        <v>194.34288000000001</v>
      </c>
      <c r="H319" s="166"/>
      <c r="I319" s="165"/>
      <c r="J319" s="160"/>
      <c r="K319" s="160"/>
      <c r="L319" s="166">
        <v>123.99720000000001</v>
      </c>
      <c r="M319" s="165">
        <v>194.34288000000001</v>
      </c>
      <c r="N319" s="165"/>
      <c r="O319" s="165"/>
      <c r="P319" s="160"/>
      <c r="Q319" s="166"/>
      <c r="R319" s="165"/>
      <c r="S319" s="165"/>
      <c r="T319" s="159"/>
      <c r="U319" s="160"/>
      <c r="V319" s="165"/>
      <c r="W319" s="165"/>
      <c r="X319" s="160"/>
      <c r="Y319" s="166"/>
      <c r="Z319" s="160"/>
      <c r="AA319" s="160"/>
      <c r="AB319" s="165"/>
      <c r="AC319" s="165"/>
      <c r="AD319" s="165"/>
      <c r="AE319" s="165"/>
      <c r="AF319" s="160"/>
      <c r="AG319" s="160"/>
      <c r="AH319" s="160"/>
      <c r="AI319" s="160"/>
      <c r="AJ319" s="161"/>
      <c r="AK319" s="162"/>
      <c r="AL319" s="165"/>
      <c r="AM319" s="166"/>
      <c r="AN319" s="165"/>
      <c r="AO319" s="160"/>
      <c r="AP319" s="162"/>
      <c r="AQ319" s="161"/>
      <c r="AR319" s="162"/>
      <c r="AS319" s="161"/>
      <c r="AT319" s="165"/>
      <c r="AU319" s="166"/>
      <c r="AV319" s="165"/>
      <c r="AW319" s="166"/>
      <c r="AX319" s="165"/>
      <c r="AY319" s="165"/>
      <c r="AZ319" s="165"/>
      <c r="BA319" s="165"/>
      <c r="BB319" s="166"/>
      <c r="BC319" s="165"/>
      <c r="BD319" s="165"/>
      <c r="BE319" s="165"/>
      <c r="BF319" s="165"/>
      <c r="BG319" s="165"/>
      <c r="BH319" s="165"/>
      <c r="BI319" s="165"/>
      <c r="BJ319" s="166"/>
      <c r="BK319" s="165"/>
      <c r="BL319" s="165"/>
      <c r="BM319" s="163"/>
      <c r="BN319" s="165"/>
      <c r="BO319" s="165"/>
      <c r="BP319" s="165"/>
      <c r="BQ319" s="167"/>
    </row>
    <row r="320" spans="1:270" ht="39.950000000000003" customHeight="1" outlineLevel="1" x14ac:dyDescent="0.3">
      <c r="A320" s="15" t="s">
        <v>403</v>
      </c>
      <c r="B320" s="12" t="s">
        <v>409</v>
      </c>
      <c r="C320" s="9" t="s">
        <v>30</v>
      </c>
      <c r="D320" s="66" t="s">
        <v>410</v>
      </c>
      <c r="E320" s="158">
        <f t="shared" si="63"/>
        <v>8400.589320000001</v>
      </c>
      <c r="F320" s="159">
        <f t="shared" si="64"/>
        <v>852.97586000000001</v>
      </c>
      <c r="G320" s="160">
        <f t="shared" si="65"/>
        <v>7547.6134600000005</v>
      </c>
      <c r="H320" s="166">
        <v>686.31218000000001</v>
      </c>
      <c r="I320" s="165">
        <v>228.77072000000001</v>
      </c>
      <c r="J320" s="160"/>
      <c r="K320" s="160"/>
      <c r="L320" s="166">
        <f>46.46632+120.19736</f>
        <v>166.66368</v>
      </c>
      <c r="M320" s="165">
        <f>72.82744+188.38732</f>
        <v>261.21475999999996</v>
      </c>
      <c r="N320" s="165"/>
      <c r="O320" s="165"/>
      <c r="P320" s="160"/>
      <c r="Q320" s="166"/>
      <c r="R320" s="165"/>
      <c r="S320" s="165"/>
      <c r="T320" s="159"/>
      <c r="U320" s="160"/>
      <c r="V320" s="165"/>
      <c r="W320" s="165"/>
      <c r="X320" s="160"/>
      <c r="Y320" s="166"/>
      <c r="Z320" s="160"/>
      <c r="AA320" s="160"/>
      <c r="AB320" s="165"/>
      <c r="AC320" s="165"/>
      <c r="AD320" s="165"/>
      <c r="AE320" s="165"/>
      <c r="AF320" s="160"/>
      <c r="AG320" s="160"/>
      <c r="AH320" s="160"/>
      <c r="AI320" s="160"/>
      <c r="AJ320" s="161"/>
      <c r="AK320" s="162"/>
      <c r="AL320" s="165"/>
      <c r="AM320" s="166"/>
      <c r="AN320" s="165"/>
      <c r="AO320" s="160"/>
      <c r="AP320" s="162"/>
      <c r="AQ320" s="161"/>
      <c r="AR320" s="162"/>
      <c r="AS320" s="161"/>
      <c r="AT320" s="165"/>
      <c r="AU320" s="166"/>
      <c r="AV320" s="165"/>
      <c r="AW320" s="166"/>
      <c r="AX320" s="165"/>
      <c r="AY320" s="165"/>
      <c r="AZ320" s="165"/>
      <c r="BA320" s="165"/>
      <c r="BB320" s="166"/>
      <c r="BC320" s="165"/>
      <c r="BD320" s="165"/>
      <c r="BE320" s="165"/>
      <c r="BF320" s="165"/>
      <c r="BG320" s="165"/>
      <c r="BH320" s="165">
        <v>4983.9944999999998</v>
      </c>
      <c r="BI320" s="165"/>
      <c r="BJ320" s="166"/>
      <c r="BK320" s="165"/>
      <c r="BL320" s="165">
        <v>2073.63348</v>
      </c>
      <c r="BM320" s="163"/>
      <c r="BN320" s="165"/>
      <c r="BO320" s="165"/>
      <c r="BP320" s="165"/>
      <c r="BQ320" s="167"/>
    </row>
    <row r="321" spans="1:270" ht="39.950000000000003" customHeight="1" outlineLevel="1" x14ac:dyDescent="0.3">
      <c r="A321" s="12" t="s">
        <v>403</v>
      </c>
      <c r="B321" s="12" t="s">
        <v>411</v>
      </c>
      <c r="C321" s="9" t="s">
        <v>30</v>
      </c>
      <c r="D321" s="66" t="s">
        <v>412</v>
      </c>
      <c r="E321" s="158">
        <f t="shared" si="63"/>
        <v>3542.71306</v>
      </c>
      <c r="F321" s="159">
        <f t="shared" si="64"/>
        <v>211.39312000000001</v>
      </c>
      <c r="G321" s="160">
        <f t="shared" si="65"/>
        <v>3331.3199399999999</v>
      </c>
      <c r="H321" s="166"/>
      <c r="I321" s="165"/>
      <c r="J321" s="160"/>
      <c r="K321" s="160"/>
      <c r="L321" s="166">
        <v>211.39312000000001</v>
      </c>
      <c r="M321" s="165">
        <v>331.31993999999997</v>
      </c>
      <c r="N321" s="165"/>
      <c r="O321" s="165"/>
      <c r="P321" s="160"/>
      <c r="Q321" s="166"/>
      <c r="R321" s="165"/>
      <c r="S321" s="165"/>
      <c r="T321" s="159"/>
      <c r="U321" s="160"/>
      <c r="V321" s="165"/>
      <c r="W321" s="165"/>
      <c r="X321" s="160"/>
      <c r="Y321" s="166"/>
      <c r="Z321" s="160"/>
      <c r="AA321" s="160"/>
      <c r="AB321" s="165"/>
      <c r="AC321" s="165"/>
      <c r="AD321" s="165"/>
      <c r="AE321" s="165"/>
      <c r="AF321" s="160"/>
      <c r="AG321" s="160"/>
      <c r="AH321" s="160"/>
      <c r="AI321" s="160"/>
      <c r="AJ321" s="161"/>
      <c r="AK321" s="162"/>
      <c r="AL321" s="165"/>
      <c r="AM321" s="166"/>
      <c r="AN321" s="165"/>
      <c r="AO321" s="160"/>
      <c r="AP321" s="162"/>
      <c r="AQ321" s="161"/>
      <c r="AR321" s="162"/>
      <c r="AS321" s="161"/>
      <c r="AT321" s="165"/>
      <c r="AU321" s="166"/>
      <c r="AV321" s="165"/>
      <c r="AW321" s="166"/>
      <c r="AX321" s="165"/>
      <c r="AY321" s="165"/>
      <c r="AZ321" s="165"/>
      <c r="BA321" s="165"/>
      <c r="BB321" s="166"/>
      <c r="BC321" s="165"/>
      <c r="BD321" s="165"/>
      <c r="BE321" s="165"/>
      <c r="BF321" s="165"/>
      <c r="BG321" s="165"/>
      <c r="BH321" s="165">
        <v>3000</v>
      </c>
      <c r="BI321" s="165"/>
      <c r="BJ321" s="166"/>
      <c r="BK321" s="165"/>
      <c r="BL321" s="165"/>
      <c r="BM321" s="163"/>
      <c r="BN321" s="165"/>
      <c r="BO321" s="165"/>
      <c r="BP321" s="165"/>
      <c r="BQ321" s="167"/>
    </row>
    <row r="322" spans="1:270" ht="39.950000000000003" customHeight="1" outlineLevel="1" x14ac:dyDescent="0.3">
      <c r="A322" s="15" t="s">
        <v>403</v>
      </c>
      <c r="B322" s="12" t="s">
        <v>413</v>
      </c>
      <c r="C322" s="9" t="s">
        <v>30</v>
      </c>
      <c r="D322" s="66" t="s">
        <v>414</v>
      </c>
      <c r="E322" s="158">
        <f t="shared" si="63"/>
        <v>890.92728000000011</v>
      </c>
      <c r="F322" s="159">
        <f t="shared" si="64"/>
        <v>170.36552</v>
      </c>
      <c r="G322" s="160">
        <f t="shared" si="65"/>
        <v>720.56176000000005</v>
      </c>
      <c r="H322" s="166"/>
      <c r="I322" s="165"/>
      <c r="J322" s="160"/>
      <c r="K322" s="160"/>
      <c r="L322" s="166">
        <v>65.727860000000007</v>
      </c>
      <c r="M322" s="165">
        <v>103.01636000000001</v>
      </c>
      <c r="N322" s="165"/>
      <c r="O322" s="165"/>
      <c r="P322" s="160"/>
      <c r="Q322" s="166"/>
      <c r="R322" s="165"/>
      <c r="S322" s="165"/>
      <c r="T322" s="159"/>
      <c r="U322" s="160"/>
      <c r="V322" s="165"/>
      <c r="W322" s="165"/>
      <c r="X322" s="160"/>
      <c r="Y322" s="166">
        <v>104.63766</v>
      </c>
      <c r="Z322" s="160">
        <v>34.879219999999997</v>
      </c>
      <c r="AA322" s="160">
        <v>582.66618000000005</v>
      </c>
      <c r="AB322" s="165"/>
      <c r="AC322" s="165"/>
      <c r="AD322" s="165"/>
      <c r="AE322" s="165"/>
      <c r="AF322" s="160"/>
      <c r="AG322" s="160"/>
      <c r="AH322" s="160"/>
      <c r="AI322" s="160"/>
      <c r="AJ322" s="161"/>
      <c r="AK322" s="162"/>
      <c r="AL322" s="165"/>
      <c r="AM322" s="166"/>
      <c r="AN322" s="165"/>
      <c r="AO322" s="160"/>
      <c r="AP322" s="162"/>
      <c r="AQ322" s="161"/>
      <c r="AR322" s="162"/>
      <c r="AS322" s="161"/>
      <c r="AT322" s="165"/>
      <c r="AU322" s="166"/>
      <c r="AV322" s="165"/>
      <c r="AW322" s="166"/>
      <c r="AX322" s="165"/>
      <c r="AY322" s="165"/>
      <c r="AZ322" s="165"/>
      <c r="BA322" s="165"/>
      <c r="BB322" s="166"/>
      <c r="BC322" s="165"/>
      <c r="BD322" s="165"/>
      <c r="BE322" s="165"/>
      <c r="BF322" s="165"/>
      <c r="BG322" s="165"/>
      <c r="BH322" s="165"/>
      <c r="BI322" s="165"/>
      <c r="BJ322" s="166"/>
      <c r="BK322" s="165"/>
      <c r="BL322" s="165"/>
      <c r="BM322" s="163"/>
      <c r="BN322" s="165"/>
      <c r="BO322" s="165"/>
      <c r="BP322" s="165"/>
      <c r="BQ322" s="167"/>
    </row>
    <row r="323" spans="1:270" ht="39.950000000000003" customHeight="1" outlineLevel="1" x14ac:dyDescent="0.3">
      <c r="A323" s="15" t="s">
        <v>403</v>
      </c>
      <c r="B323" s="12" t="s">
        <v>1508</v>
      </c>
      <c r="C323" s="9" t="s">
        <v>30</v>
      </c>
      <c r="D323" s="66">
        <v>241501935382</v>
      </c>
      <c r="E323" s="158">
        <f t="shared" si="63"/>
        <v>1894.095</v>
      </c>
      <c r="F323" s="159">
        <f t="shared" si="64"/>
        <v>0</v>
      </c>
      <c r="G323" s="160">
        <f t="shared" si="65"/>
        <v>1894.095</v>
      </c>
      <c r="H323" s="166"/>
      <c r="I323" s="165"/>
      <c r="J323" s="160"/>
      <c r="K323" s="160"/>
      <c r="L323" s="166"/>
      <c r="M323" s="165"/>
      <c r="N323" s="165"/>
      <c r="O323" s="165"/>
      <c r="P323" s="160"/>
      <c r="Q323" s="166"/>
      <c r="R323" s="165"/>
      <c r="S323" s="165"/>
      <c r="T323" s="159"/>
      <c r="U323" s="160"/>
      <c r="V323" s="165"/>
      <c r="W323" s="165"/>
      <c r="X323" s="160"/>
      <c r="Y323" s="166"/>
      <c r="Z323" s="160"/>
      <c r="AA323" s="160"/>
      <c r="AB323" s="165"/>
      <c r="AC323" s="165"/>
      <c r="AD323" s="165"/>
      <c r="AE323" s="165"/>
      <c r="AF323" s="160"/>
      <c r="AG323" s="160"/>
      <c r="AH323" s="160"/>
      <c r="AI323" s="160"/>
      <c r="AJ323" s="161"/>
      <c r="AK323" s="162"/>
      <c r="AL323" s="165"/>
      <c r="AM323" s="166"/>
      <c r="AN323" s="165"/>
      <c r="AO323" s="160"/>
      <c r="AP323" s="162"/>
      <c r="AQ323" s="161"/>
      <c r="AR323" s="162"/>
      <c r="AS323" s="161"/>
      <c r="AT323" s="165"/>
      <c r="AU323" s="166"/>
      <c r="AV323" s="165"/>
      <c r="AW323" s="166"/>
      <c r="AX323" s="165"/>
      <c r="AY323" s="165"/>
      <c r="AZ323" s="165"/>
      <c r="BA323" s="165"/>
      <c r="BB323" s="166"/>
      <c r="BC323" s="165"/>
      <c r="BD323" s="165"/>
      <c r="BE323" s="165"/>
      <c r="BF323" s="165"/>
      <c r="BG323" s="165"/>
      <c r="BH323" s="165"/>
      <c r="BI323" s="165"/>
      <c r="BJ323" s="166"/>
      <c r="BK323" s="165"/>
      <c r="BL323" s="165">
        <v>1894.095</v>
      </c>
      <c r="BM323" s="163"/>
      <c r="BN323" s="165"/>
      <c r="BO323" s="165"/>
      <c r="BP323" s="165"/>
      <c r="BQ323" s="167"/>
    </row>
    <row r="324" spans="1:270" ht="39.950000000000003" customHeight="1" outlineLevel="1" x14ac:dyDescent="0.3">
      <c r="A324" s="15" t="s">
        <v>403</v>
      </c>
      <c r="B324" s="12" t="s">
        <v>422</v>
      </c>
      <c r="C324" s="9" t="s">
        <v>30</v>
      </c>
      <c r="D324" s="66" t="s">
        <v>1192</v>
      </c>
      <c r="E324" s="158">
        <f t="shared" si="63"/>
        <v>120.70415</v>
      </c>
      <c r="F324" s="159">
        <f t="shared" si="64"/>
        <v>47.015689999999999</v>
      </c>
      <c r="G324" s="160">
        <f t="shared" si="65"/>
        <v>73.688460000000006</v>
      </c>
      <c r="H324" s="166"/>
      <c r="I324" s="165"/>
      <c r="J324" s="160"/>
      <c r="K324" s="160"/>
      <c r="L324" s="166">
        <v>47.015689999999999</v>
      </c>
      <c r="M324" s="165">
        <v>73.688460000000006</v>
      </c>
      <c r="N324" s="165"/>
      <c r="O324" s="165"/>
      <c r="P324" s="160"/>
      <c r="Q324" s="166"/>
      <c r="R324" s="165"/>
      <c r="S324" s="165"/>
      <c r="T324" s="159"/>
      <c r="U324" s="160"/>
      <c r="V324" s="165"/>
      <c r="W324" s="165"/>
      <c r="X324" s="160"/>
      <c r="Y324" s="166"/>
      <c r="Z324" s="160"/>
      <c r="AA324" s="160"/>
      <c r="AB324" s="165"/>
      <c r="AC324" s="165"/>
      <c r="AD324" s="165"/>
      <c r="AE324" s="165"/>
      <c r="AF324" s="160"/>
      <c r="AG324" s="160"/>
      <c r="AH324" s="160"/>
      <c r="AI324" s="160"/>
      <c r="AJ324" s="161"/>
      <c r="AK324" s="162"/>
      <c r="AL324" s="165"/>
      <c r="AM324" s="166"/>
      <c r="AN324" s="165"/>
      <c r="AO324" s="160"/>
      <c r="AP324" s="162"/>
      <c r="AQ324" s="161"/>
      <c r="AR324" s="162"/>
      <c r="AS324" s="161"/>
      <c r="AT324" s="165"/>
      <c r="AU324" s="166"/>
      <c r="AV324" s="165"/>
      <c r="AW324" s="166"/>
      <c r="AX324" s="165"/>
      <c r="AY324" s="165"/>
      <c r="AZ324" s="165"/>
      <c r="BA324" s="165"/>
      <c r="BB324" s="166"/>
      <c r="BC324" s="165"/>
      <c r="BD324" s="165"/>
      <c r="BE324" s="165"/>
      <c r="BF324" s="165"/>
      <c r="BG324" s="165"/>
      <c r="BH324" s="165"/>
      <c r="BI324" s="165"/>
      <c r="BJ324" s="166"/>
      <c r="BK324" s="165"/>
      <c r="BL324" s="165"/>
      <c r="BM324" s="163"/>
      <c r="BN324" s="165"/>
      <c r="BO324" s="165"/>
      <c r="BP324" s="165"/>
      <c r="BQ324" s="167"/>
    </row>
    <row r="325" spans="1:270" ht="39.950000000000003" customHeight="1" outlineLevel="1" x14ac:dyDescent="0.3">
      <c r="A325" s="15" t="s">
        <v>403</v>
      </c>
      <c r="B325" s="12" t="s">
        <v>415</v>
      </c>
      <c r="C325" s="25" t="s">
        <v>30</v>
      </c>
      <c r="D325" s="66" t="s">
        <v>416</v>
      </c>
      <c r="E325" s="158">
        <f t="shared" si="63"/>
        <v>4675.1542200000004</v>
      </c>
      <c r="F325" s="159">
        <f t="shared" si="64"/>
        <v>98.839200000000005</v>
      </c>
      <c r="G325" s="160">
        <f t="shared" si="65"/>
        <v>4576.31502</v>
      </c>
      <c r="H325" s="166">
        <v>45.160499999999999</v>
      </c>
      <c r="I325" s="165">
        <v>15.0535</v>
      </c>
      <c r="J325" s="160"/>
      <c r="K325" s="160"/>
      <c r="L325" s="166">
        <f>27.64749+26.03121</f>
        <v>53.678700000000006</v>
      </c>
      <c r="M325" s="165">
        <f>43.33238+40.79914</f>
        <v>84.131519999999995</v>
      </c>
      <c r="N325" s="165"/>
      <c r="O325" s="165"/>
      <c r="P325" s="160"/>
      <c r="Q325" s="166"/>
      <c r="R325" s="165"/>
      <c r="S325" s="165"/>
      <c r="T325" s="159"/>
      <c r="U325" s="160"/>
      <c r="V325" s="165"/>
      <c r="W325" s="165"/>
      <c r="X325" s="160"/>
      <c r="Y325" s="166"/>
      <c r="Z325" s="160"/>
      <c r="AA325" s="160"/>
      <c r="AB325" s="165"/>
      <c r="AC325" s="165"/>
      <c r="AD325" s="165"/>
      <c r="AE325" s="165"/>
      <c r="AF325" s="160"/>
      <c r="AG325" s="160"/>
      <c r="AH325" s="160"/>
      <c r="AI325" s="160"/>
      <c r="AJ325" s="161"/>
      <c r="AK325" s="162"/>
      <c r="AL325" s="165"/>
      <c r="AM325" s="166"/>
      <c r="AN325" s="165"/>
      <c r="AO325" s="160"/>
      <c r="AP325" s="162"/>
      <c r="AQ325" s="161"/>
      <c r="AR325" s="162"/>
      <c r="AS325" s="161"/>
      <c r="AT325" s="165"/>
      <c r="AU325" s="166"/>
      <c r="AV325" s="165"/>
      <c r="AW325" s="166"/>
      <c r="AX325" s="165"/>
      <c r="AY325" s="165"/>
      <c r="AZ325" s="165"/>
      <c r="BA325" s="165"/>
      <c r="BB325" s="166"/>
      <c r="BC325" s="165"/>
      <c r="BD325" s="165"/>
      <c r="BE325" s="165"/>
      <c r="BF325" s="165"/>
      <c r="BG325" s="165"/>
      <c r="BH325" s="165"/>
      <c r="BI325" s="165"/>
      <c r="BJ325" s="166"/>
      <c r="BK325" s="165"/>
      <c r="BL325" s="165">
        <v>4477.13</v>
      </c>
      <c r="BM325" s="163"/>
      <c r="BN325" s="165"/>
      <c r="BO325" s="165"/>
      <c r="BP325" s="165"/>
      <c r="BQ325" s="167"/>
    </row>
    <row r="326" spans="1:270" ht="39.950000000000003" customHeight="1" outlineLevel="1" x14ac:dyDescent="0.3">
      <c r="A326" s="15" t="s">
        <v>403</v>
      </c>
      <c r="B326" s="12" t="s">
        <v>417</v>
      </c>
      <c r="C326" s="21" t="s">
        <v>30</v>
      </c>
      <c r="D326" s="67" t="s">
        <v>418</v>
      </c>
      <c r="E326" s="158">
        <f t="shared" si="63"/>
        <v>63.489819999999995</v>
      </c>
      <c r="F326" s="159">
        <f t="shared" si="64"/>
        <v>13.223549999999999</v>
      </c>
      <c r="G326" s="160">
        <f t="shared" si="65"/>
        <v>50.266269999999999</v>
      </c>
      <c r="H326" s="166"/>
      <c r="I326" s="165"/>
      <c r="J326" s="160"/>
      <c r="K326" s="160"/>
      <c r="L326" s="166">
        <v>6.3535500000000003</v>
      </c>
      <c r="M326" s="165">
        <v>9.9580300000000008</v>
      </c>
      <c r="N326" s="165"/>
      <c r="O326" s="165"/>
      <c r="P326" s="160"/>
      <c r="Q326" s="166"/>
      <c r="R326" s="165"/>
      <c r="S326" s="165"/>
      <c r="T326" s="159"/>
      <c r="U326" s="160"/>
      <c r="V326" s="165"/>
      <c r="W326" s="165"/>
      <c r="X326" s="160"/>
      <c r="Y326" s="166">
        <v>6.87</v>
      </c>
      <c r="Z326" s="160">
        <v>2.29</v>
      </c>
      <c r="AA326" s="160">
        <v>38.018239999999999</v>
      </c>
      <c r="AB326" s="165"/>
      <c r="AC326" s="165"/>
      <c r="AD326" s="165"/>
      <c r="AE326" s="165"/>
      <c r="AF326" s="160"/>
      <c r="AG326" s="160"/>
      <c r="AH326" s="160"/>
      <c r="AI326" s="160"/>
      <c r="AJ326" s="161"/>
      <c r="AK326" s="162"/>
      <c r="AL326" s="165"/>
      <c r="AM326" s="166"/>
      <c r="AN326" s="165"/>
      <c r="AO326" s="160"/>
      <c r="AP326" s="162"/>
      <c r="AQ326" s="161"/>
      <c r="AR326" s="162"/>
      <c r="AS326" s="161"/>
      <c r="AT326" s="165"/>
      <c r="AU326" s="166"/>
      <c r="AV326" s="165"/>
      <c r="AW326" s="166"/>
      <c r="AX326" s="165"/>
      <c r="AY326" s="165"/>
      <c r="AZ326" s="165"/>
      <c r="BA326" s="165"/>
      <c r="BB326" s="166"/>
      <c r="BC326" s="165"/>
      <c r="BD326" s="165"/>
      <c r="BE326" s="165"/>
      <c r="BF326" s="165"/>
      <c r="BG326" s="165"/>
      <c r="BH326" s="165"/>
      <c r="BI326" s="165"/>
      <c r="BJ326" s="166"/>
      <c r="BK326" s="165"/>
      <c r="BL326" s="165"/>
      <c r="BM326" s="163"/>
      <c r="BN326" s="165"/>
      <c r="BO326" s="165"/>
      <c r="BP326" s="165"/>
      <c r="BQ326" s="167"/>
    </row>
    <row r="327" spans="1:270" ht="39.950000000000003" customHeight="1" outlineLevel="1" x14ac:dyDescent="0.3">
      <c r="A327" s="15" t="s">
        <v>403</v>
      </c>
      <c r="B327" s="12" t="s">
        <v>420</v>
      </c>
      <c r="C327" s="9" t="s">
        <v>30</v>
      </c>
      <c r="D327" s="66" t="s">
        <v>421</v>
      </c>
      <c r="E327" s="158">
        <f t="shared" si="63"/>
        <v>467.97669000000002</v>
      </c>
      <c r="F327" s="159">
        <f t="shared" si="64"/>
        <v>211.31157000000002</v>
      </c>
      <c r="G327" s="160">
        <f t="shared" si="65"/>
        <v>256.66512</v>
      </c>
      <c r="H327" s="166">
        <v>60.395470000000003</v>
      </c>
      <c r="I327" s="165">
        <v>20.131820000000001</v>
      </c>
      <c r="J327" s="160"/>
      <c r="K327" s="160"/>
      <c r="L327" s="166">
        <v>150.9161</v>
      </c>
      <c r="M327" s="165">
        <v>236.5333</v>
      </c>
      <c r="N327" s="165"/>
      <c r="O327" s="165"/>
      <c r="P327" s="160"/>
      <c r="Q327" s="166"/>
      <c r="R327" s="165"/>
      <c r="S327" s="165"/>
      <c r="T327" s="159"/>
      <c r="U327" s="160"/>
      <c r="V327" s="165"/>
      <c r="W327" s="165"/>
      <c r="X327" s="160"/>
      <c r="Y327" s="166"/>
      <c r="Z327" s="160"/>
      <c r="AA327" s="160"/>
      <c r="AB327" s="165"/>
      <c r="AC327" s="165"/>
      <c r="AD327" s="165"/>
      <c r="AE327" s="165"/>
      <c r="AF327" s="160"/>
      <c r="AG327" s="160"/>
      <c r="AH327" s="160"/>
      <c r="AI327" s="160"/>
      <c r="AJ327" s="161"/>
      <c r="AK327" s="162"/>
      <c r="AL327" s="165"/>
      <c r="AM327" s="166"/>
      <c r="AN327" s="165"/>
      <c r="AO327" s="160"/>
      <c r="AP327" s="162"/>
      <c r="AQ327" s="161"/>
      <c r="AR327" s="162"/>
      <c r="AS327" s="161"/>
      <c r="AT327" s="165"/>
      <c r="AU327" s="166"/>
      <c r="AV327" s="165"/>
      <c r="AW327" s="166"/>
      <c r="AX327" s="165"/>
      <c r="AY327" s="165"/>
      <c r="AZ327" s="165"/>
      <c r="BA327" s="165"/>
      <c r="BB327" s="166"/>
      <c r="BC327" s="165"/>
      <c r="BD327" s="165"/>
      <c r="BE327" s="165"/>
      <c r="BF327" s="165"/>
      <c r="BG327" s="165"/>
      <c r="BH327" s="165"/>
      <c r="BI327" s="165"/>
      <c r="BJ327" s="166"/>
      <c r="BK327" s="165"/>
      <c r="BL327" s="165"/>
      <c r="BM327" s="163"/>
      <c r="BN327" s="165"/>
      <c r="BO327" s="165"/>
      <c r="BP327" s="165"/>
      <c r="BQ327" s="167"/>
    </row>
    <row r="328" spans="1:270" ht="39.950000000000003" customHeight="1" outlineLevel="1" x14ac:dyDescent="0.3">
      <c r="A328" s="12" t="s">
        <v>403</v>
      </c>
      <c r="B328" s="12" t="s">
        <v>1471</v>
      </c>
      <c r="C328" s="9" t="s">
        <v>30</v>
      </c>
      <c r="D328" s="66" t="s">
        <v>424</v>
      </c>
      <c r="E328" s="158">
        <f t="shared" si="63"/>
        <v>4728.8340899999994</v>
      </c>
      <c r="F328" s="159">
        <f t="shared" si="64"/>
        <v>397.08752000000004</v>
      </c>
      <c r="G328" s="160">
        <f t="shared" si="65"/>
        <v>4331.7465699999993</v>
      </c>
      <c r="H328" s="166"/>
      <c r="I328" s="165"/>
      <c r="J328" s="160"/>
      <c r="K328" s="160"/>
      <c r="L328" s="166">
        <v>184.14974000000001</v>
      </c>
      <c r="M328" s="165">
        <v>288.62094000000002</v>
      </c>
      <c r="N328" s="165"/>
      <c r="O328" s="165"/>
      <c r="P328" s="160"/>
      <c r="Q328" s="166"/>
      <c r="R328" s="165"/>
      <c r="S328" s="165"/>
      <c r="T328" s="159"/>
      <c r="U328" s="160"/>
      <c r="V328" s="165"/>
      <c r="W328" s="165"/>
      <c r="X328" s="160"/>
      <c r="Y328" s="166">
        <v>212.93778</v>
      </c>
      <c r="Z328" s="160">
        <v>70.979259999999996</v>
      </c>
      <c r="AA328" s="160">
        <v>996.84037000000001</v>
      </c>
      <c r="AB328" s="165"/>
      <c r="AC328" s="165"/>
      <c r="AD328" s="165"/>
      <c r="AE328" s="165"/>
      <c r="AF328" s="160"/>
      <c r="AG328" s="160"/>
      <c r="AH328" s="160"/>
      <c r="AI328" s="160"/>
      <c r="AJ328" s="161"/>
      <c r="AK328" s="162"/>
      <c r="AL328" s="165"/>
      <c r="AM328" s="166"/>
      <c r="AN328" s="165"/>
      <c r="AO328" s="160"/>
      <c r="AP328" s="162"/>
      <c r="AQ328" s="161"/>
      <c r="AR328" s="162"/>
      <c r="AS328" s="161"/>
      <c r="AT328" s="165"/>
      <c r="AU328" s="166"/>
      <c r="AV328" s="165"/>
      <c r="AW328" s="166"/>
      <c r="AX328" s="165"/>
      <c r="AY328" s="165"/>
      <c r="AZ328" s="165"/>
      <c r="BA328" s="165"/>
      <c r="BB328" s="166"/>
      <c r="BC328" s="165"/>
      <c r="BD328" s="165"/>
      <c r="BE328" s="165"/>
      <c r="BF328" s="165"/>
      <c r="BG328" s="165">
        <v>172.11</v>
      </c>
      <c r="BH328" s="165">
        <v>2775</v>
      </c>
      <c r="BI328" s="165"/>
      <c r="BJ328" s="166"/>
      <c r="BK328" s="165"/>
      <c r="BL328" s="165"/>
      <c r="BM328" s="163"/>
      <c r="BN328" s="165"/>
      <c r="BO328" s="165">
        <v>28.196000000000002</v>
      </c>
      <c r="BP328" s="165"/>
      <c r="BQ328" s="167"/>
    </row>
    <row r="329" spans="1:270" ht="39.950000000000003" customHeight="1" outlineLevel="1" x14ac:dyDescent="0.3">
      <c r="A329" s="15" t="s">
        <v>403</v>
      </c>
      <c r="B329" s="12" t="s">
        <v>404</v>
      </c>
      <c r="C329" s="9" t="s">
        <v>6</v>
      </c>
      <c r="D329" s="66" t="s">
        <v>405</v>
      </c>
      <c r="E329" s="158">
        <f t="shared" si="63"/>
        <v>2124.7022099999999</v>
      </c>
      <c r="F329" s="159">
        <f t="shared" si="64"/>
        <v>1152.02745</v>
      </c>
      <c r="G329" s="160">
        <f t="shared" si="65"/>
        <v>972.67475999999999</v>
      </c>
      <c r="H329" s="166"/>
      <c r="I329" s="165"/>
      <c r="J329" s="160"/>
      <c r="K329" s="160"/>
      <c r="L329" s="166">
        <v>477.04505</v>
      </c>
      <c r="M329" s="165">
        <v>747.68061999999998</v>
      </c>
      <c r="N329" s="165"/>
      <c r="O329" s="165"/>
      <c r="P329" s="160"/>
      <c r="Q329" s="166"/>
      <c r="R329" s="165"/>
      <c r="S329" s="165"/>
      <c r="T329" s="159"/>
      <c r="U329" s="160"/>
      <c r="V329" s="165"/>
      <c r="W329" s="165"/>
      <c r="X329" s="160"/>
      <c r="Y329" s="166">
        <v>674.98239999999998</v>
      </c>
      <c r="Z329" s="160">
        <v>224.99413999999999</v>
      </c>
      <c r="AA329" s="160"/>
      <c r="AB329" s="165"/>
      <c r="AC329" s="165"/>
      <c r="AD329" s="165"/>
      <c r="AE329" s="165"/>
      <c r="AF329" s="160"/>
      <c r="AG329" s="160"/>
      <c r="AH329" s="160"/>
      <c r="AI329" s="160"/>
      <c r="AJ329" s="161"/>
      <c r="AK329" s="162"/>
      <c r="AL329" s="165"/>
      <c r="AM329" s="166"/>
      <c r="AN329" s="165"/>
      <c r="AO329" s="160"/>
      <c r="AP329" s="162"/>
      <c r="AQ329" s="161"/>
      <c r="AR329" s="162"/>
      <c r="AS329" s="161"/>
      <c r="AT329" s="165"/>
      <c r="AU329" s="166"/>
      <c r="AV329" s="165"/>
      <c r="AW329" s="166"/>
      <c r="AX329" s="165"/>
      <c r="AY329" s="165"/>
      <c r="AZ329" s="165"/>
      <c r="BA329" s="165"/>
      <c r="BB329" s="166"/>
      <c r="BC329" s="165"/>
      <c r="BD329" s="165"/>
      <c r="BE329" s="165"/>
      <c r="BF329" s="165"/>
      <c r="BG329" s="165"/>
      <c r="BH329" s="165"/>
      <c r="BI329" s="165"/>
      <c r="BJ329" s="166"/>
      <c r="BK329" s="165"/>
      <c r="BL329" s="165"/>
      <c r="BM329" s="163"/>
      <c r="BN329" s="165"/>
      <c r="BO329" s="165"/>
      <c r="BP329" s="165"/>
      <c r="BQ329" s="167"/>
    </row>
    <row r="330" spans="1:270" s="34" customFormat="1" ht="39.950000000000003" customHeight="1" x14ac:dyDescent="0.3">
      <c r="A330" s="118" t="s">
        <v>425</v>
      </c>
      <c r="B330" s="115"/>
      <c r="C330" s="116" t="s">
        <v>80</v>
      </c>
      <c r="D330" s="117"/>
      <c r="E330" s="171">
        <f t="shared" ref="E330:AI330" si="66">SUBTOTAL(9,E314:E329)</f>
        <v>33441.429600000003</v>
      </c>
      <c r="F330" s="171">
        <f t="shared" si="66"/>
        <v>3889.2637200000004</v>
      </c>
      <c r="G330" s="171">
        <f t="shared" si="66"/>
        <v>29552.165880000008</v>
      </c>
      <c r="H330" s="171">
        <f t="shared" si="66"/>
        <v>1060.7783999999999</v>
      </c>
      <c r="I330" s="171">
        <f t="shared" si="66"/>
        <v>353.59278999999998</v>
      </c>
      <c r="J330" s="171">
        <f t="shared" si="66"/>
        <v>0</v>
      </c>
      <c r="K330" s="171">
        <f t="shared" si="66"/>
        <v>0</v>
      </c>
      <c r="L330" s="171">
        <f t="shared" si="66"/>
        <v>1767.8574800000001</v>
      </c>
      <c r="M330" s="171">
        <f t="shared" si="66"/>
        <v>2770.79234</v>
      </c>
      <c r="N330" s="171">
        <f t="shared" si="66"/>
        <v>0</v>
      </c>
      <c r="O330" s="171">
        <f>SUBTOTAL(9,O314:O329)</f>
        <v>0</v>
      </c>
      <c r="P330" s="171">
        <f>SUBTOTAL(9,P314:P329)</f>
        <v>0</v>
      </c>
      <c r="Q330" s="171">
        <f t="shared" si="66"/>
        <v>0</v>
      </c>
      <c r="R330" s="171">
        <f t="shared" si="66"/>
        <v>0</v>
      </c>
      <c r="S330" s="171">
        <f t="shared" si="66"/>
        <v>0</v>
      </c>
      <c r="T330" s="171">
        <f>SUBTOTAL(9,T314:T329)</f>
        <v>0</v>
      </c>
      <c r="U330" s="171">
        <f>SUBTOTAL(9,U314:U329)</f>
        <v>0</v>
      </c>
      <c r="V330" s="171">
        <f t="shared" si="66"/>
        <v>0</v>
      </c>
      <c r="W330" s="171">
        <f t="shared" si="66"/>
        <v>0</v>
      </c>
      <c r="X330" s="171">
        <f>SUBTOTAL(9,X314:X329)</f>
        <v>0</v>
      </c>
      <c r="Y330" s="171">
        <f t="shared" si="66"/>
        <v>1060.6278400000001</v>
      </c>
      <c r="Z330" s="171">
        <f t="shared" si="66"/>
        <v>353.54261999999994</v>
      </c>
      <c r="AA330" s="171">
        <f t="shared" si="66"/>
        <v>1952.40319</v>
      </c>
      <c r="AB330" s="171">
        <f t="shared" si="66"/>
        <v>0</v>
      </c>
      <c r="AC330" s="171">
        <f t="shared" si="66"/>
        <v>0</v>
      </c>
      <c r="AD330" s="171">
        <f>SUBTOTAL(9,AD314:AD329)</f>
        <v>0</v>
      </c>
      <c r="AE330" s="171">
        <f t="shared" si="66"/>
        <v>0</v>
      </c>
      <c r="AF330" s="171">
        <f t="shared" si="66"/>
        <v>0</v>
      </c>
      <c r="AG330" s="171">
        <f t="shared" si="66"/>
        <v>0</v>
      </c>
      <c r="AH330" s="171">
        <f t="shared" si="66"/>
        <v>0</v>
      </c>
      <c r="AI330" s="171">
        <f t="shared" si="66"/>
        <v>0</v>
      </c>
      <c r="AJ330" s="171">
        <f t="shared" ref="AJ330:BQ330" si="67">SUBTOTAL(9,AJ314:AJ329)</f>
        <v>0</v>
      </c>
      <c r="AK330" s="171">
        <f t="shared" si="67"/>
        <v>0</v>
      </c>
      <c r="AL330" s="171">
        <f t="shared" si="67"/>
        <v>0</v>
      </c>
      <c r="AM330" s="171">
        <f>SUBTOTAL(9,AM314:AM329)</f>
        <v>0</v>
      </c>
      <c r="AN330" s="171">
        <f>SUBTOTAL(9,AN314:AN329)</f>
        <v>0</v>
      </c>
      <c r="AO330" s="171">
        <f>SUBTOTAL(9,AO314:AO329)</f>
        <v>0</v>
      </c>
      <c r="AP330" s="171">
        <f t="shared" si="67"/>
        <v>0</v>
      </c>
      <c r="AQ330" s="171">
        <f t="shared" si="67"/>
        <v>0</v>
      </c>
      <c r="AR330" s="171">
        <f t="shared" si="67"/>
        <v>0</v>
      </c>
      <c r="AS330" s="171">
        <f t="shared" si="67"/>
        <v>0</v>
      </c>
      <c r="AT330" s="171">
        <f>SUBTOTAL(9,AT314:AT329)</f>
        <v>0</v>
      </c>
      <c r="AU330" s="171">
        <f t="shared" si="67"/>
        <v>0</v>
      </c>
      <c r="AV330" s="171">
        <f t="shared" si="67"/>
        <v>0</v>
      </c>
      <c r="AW330" s="171">
        <f t="shared" si="67"/>
        <v>0</v>
      </c>
      <c r="AX330" s="171">
        <f t="shared" si="67"/>
        <v>0</v>
      </c>
      <c r="AY330" s="171">
        <f t="shared" si="67"/>
        <v>0</v>
      </c>
      <c r="AZ330" s="171">
        <f t="shared" si="67"/>
        <v>0</v>
      </c>
      <c r="BA330" s="171">
        <f t="shared" si="67"/>
        <v>0</v>
      </c>
      <c r="BB330" s="171">
        <f t="shared" si="67"/>
        <v>0</v>
      </c>
      <c r="BC330" s="171">
        <f t="shared" si="67"/>
        <v>0</v>
      </c>
      <c r="BD330" s="171">
        <f t="shared" si="67"/>
        <v>0</v>
      </c>
      <c r="BE330" s="171">
        <f t="shared" si="67"/>
        <v>0</v>
      </c>
      <c r="BF330" s="171">
        <f t="shared" si="67"/>
        <v>0</v>
      </c>
      <c r="BG330" s="171">
        <f t="shared" si="67"/>
        <v>172.11</v>
      </c>
      <c r="BH330" s="171">
        <f t="shared" si="67"/>
        <v>10758.994500000001</v>
      </c>
      <c r="BI330" s="171">
        <f t="shared" si="67"/>
        <v>0</v>
      </c>
      <c r="BJ330" s="171">
        <f t="shared" si="67"/>
        <v>0</v>
      </c>
      <c r="BK330" s="171">
        <f t="shared" si="67"/>
        <v>0</v>
      </c>
      <c r="BL330" s="171">
        <f t="shared" si="67"/>
        <v>13162.534439999999</v>
      </c>
      <c r="BM330" s="172">
        <f>SUBTOTAL(9,BM314:BM329)</f>
        <v>0</v>
      </c>
      <c r="BN330" s="171">
        <f t="shared" si="67"/>
        <v>0</v>
      </c>
      <c r="BO330" s="171">
        <f t="shared" si="67"/>
        <v>28.196000000000002</v>
      </c>
      <c r="BP330" s="171">
        <f t="shared" si="67"/>
        <v>0</v>
      </c>
      <c r="BQ330" s="172">
        <f t="shared" si="67"/>
        <v>0</v>
      </c>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c r="DV330" s="40"/>
      <c r="DW330" s="40"/>
      <c r="DX330" s="40"/>
      <c r="DY330" s="40"/>
      <c r="DZ330" s="40"/>
      <c r="EA330" s="40"/>
      <c r="EB330" s="40"/>
      <c r="EC330" s="40"/>
      <c r="ED330" s="40"/>
      <c r="EE330" s="40"/>
      <c r="EF330" s="40"/>
      <c r="EG330" s="40"/>
      <c r="EH330" s="40"/>
      <c r="EI330" s="40"/>
      <c r="EJ330" s="40"/>
      <c r="EK330" s="40"/>
      <c r="EL330" s="40"/>
      <c r="EM330" s="40"/>
      <c r="EN330" s="40"/>
      <c r="EO330" s="40"/>
      <c r="EP330" s="40"/>
      <c r="EQ330" s="40"/>
      <c r="ER330" s="40"/>
      <c r="ES330" s="40"/>
      <c r="ET330" s="40"/>
      <c r="EU330" s="40"/>
      <c r="EV330" s="40"/>
      <c r="EW330" s="40"/>
      <c r="EX330" s="40"/>
      <c r="EY330" s="40"/>
      <c r="EZ330" s="40"/>
      <c r="FA330" s="40"/>
      <c r="FB330" s="40"/>
      <c r="FC330" s="40"/>
      <c r="FD330" s="40"/>
      <c r="FE330" s="40"/>
      <c r="FF330" s="40"/>
      <c r="FG330" s="40"/>
      <c r="FH330" s="40"/>
      <c r="FI330" s="40"/>
      <c r="FJ330" s="40"/>
      <c r="FK330" s="40"/>
      <c r="FL330" s="40"/>
      <c r="FM330" s="40"/>
      <c r="FN330" s="40"/>
      <c r="FO330" s="40"/>
      <c r="FP330" s="40"/>
      <c r="FQ330" s="40"/>
      <c r="FR330" s="40"/>
      <c r="FS330" s="40"/>
      <c r="FT330" s="40"/>
      <c r="FU330" s="40"/>
      <c r="FV330" s="40"/>
      <c r="FW330" s="40"/>
      <c r="FX330" s="40"/>
      <c r="FY330" s="40"/>
      <c r="FZ330" s="40"/>
      <c r="GA330" s="40"/>
      <c r="GB330" s="40"/>
      <c r="GC330" s="40"/>
      <c r="GD330" s="40"/>
      <c r="GE330" s="40"/>
      <c r="GF330" s="40"/>
      <c r="GG330" s="40"/>
      <c r="GH330" s="40"/>
      <c r="GI330" s="40"/>
      <c r="GJ330" s="40"/>
      <c r="GK330" s="40"/>
      <c r="GL330" s="40"/>
      <c r="GM330" s="40"/>
      <c r="GN330" s="40"/>
      <c r="GO330" s="40"/>
      <c r="GP330" s="40"/>
      <c r="GQ330" s="40"/>
      <c r="GR330" s="40"/>
      <c r="GS330" s="40"/>
      <c r="GT330" s="40"/>
      <c r="GU330" s="40"/>
      <c r="GV330" s="40"/>
      <c r="GW330" s="40"/>
      <c r="GX330" s="40"/>
      <c r="GY330" s="40"/>
      <c r="GZ330" s="40"/>
      <c r="HA330" s="40"/>
      <c r="HB330" s="40"/>
      <c r="HC330" s="40"/>
      <c r="HD330" s="40"/>
      <c r="HE330" s="40"/>
      <c r="HF330" s="40"/>
      <c r="HG330" s="40"/>
      <c r="HH330" s="40"/>
      <c r="HI330" s="40"/>
      <c r="HJ330" s="40"/>
      <c r="HK330" s="40"/>
      <c r="HL330" s="40"/>
      <c r="HM330" s="40"/>
      <c r="HN330" s="40"/>
      <c r="HO330" s="40"/>
      <c r="HP330" s="40"/>
      <c r="HQ330" s="40"/>
      <c r="HR330" s="40"/>
      <c r="HS330" s="40"/>
      <c r="HT330" s="40"/>
      <c r="HU330" s="40"/>
      <c r="HV330" s="40"/>
      <c r="HW330" s="40"/>
      <c r="HX330" s="40"/>
      <c r="HY330" s="40"/>
      <c r="HZ330" s="40"/>
      <c r="IA330" s="40"/>
      <c r="IB330" s="40"/>
      <c r="IC330" s="40"/>
      <c r="ID330" s="40"/>
      <c r="IE330" s="40"/>
      <c r="IF330" s="40"/>
      <c r="IG330" s="40"/>
      <c r="IH330" s="40"/>
      <c r="II330" s="40"/>
      <c r="IJ330" s="40"/>
      <c r="IK330" s="40"/>
      <c r="IL330" s="40"/>
      <c r="IM330" s="40"/>
      <c r="IN330" s="40"/>
      <c r="IO330" s="40"/>
      <c r="IP330" s="40"/>
      <c r="IQ330" s="40"/>
      <c r="IR330" s="40"/>
      <c r="IS330" s="40"/>
      <c r="IT330" s="40"/>
      <c r="IU330" s="40"/>
      <c r="IV330" s="40"/>
      <c r="IW330" s="40"/>
      <c r="IX330" s="40"/>
      <c r="IY330" s="40"/>
      <c r="IZ330" s="40"/>
      <c r="JA330" s="40"/>
      <c r="JB330" s="40"/>
      <c r="JC330" s="40"/>
      <c r="JD330" s="40"/>
      <c r="JE330" s="40"/>
      <c r="JF330" s="40"/>
      <c r="JG330" s="40"/>
      <c r="JH330" s="40"/>
      <c r="JI330" s="40"/>
      <c r="JJ330" s="40"/>
    </row>
    <row r="331" spans="1:270" ht="39.950000000000003" customHeight="1" outlineLevel="1" x14ac:dyDescent="0.3">
      <c r="A331" s="12" t="s">
        <v>426</v>
      </c>
      <c r="B331" s="12" t="s">
        <v>431</v>
      </c>
      <c r="C331" s="9" t="s">
        <v>28</v>
      </c>
      <c r="D331" s="68">
        <v>241600739526</v>
      </c>
      <c r="E331" s="158">
        <f t="shared" ref="E331:E366" si="68">F331+G331</f>
        <v>282.52087</v>
      </c>
      <c r="F331" s="159">
        <f t="shared" ref="F331:F366" si="69">H331+L331+Q331+Y331+T331+AK331+AP331+AM331+AR331+AU331+AW331+BB331+BJ331</f>
        <v>110.04519999999999</v>
      </c>
      <c r="G331" s="160">
        <f t="shared" ref="G331:G366" si="70">I331+J331+K331+M331+N331+R331+S331+V331+W331+AD331+O331+X331+Z331+AA331+AB331+AC331+AE331+AF331+P331+U331+AG331+AH331+AI331+AO331+AJ331+AL331+AQ331+AN331+AS331+AV331+AX331+AY331+AZ331+BA331+BC331+BD331+BE331+BF331+BG331+BH331+BI331+AT331+BK331+BL331+BN331+BO331+BP331+BQ331+BM331</f>
        <v>172.47567000000001</v>
      </c>
      <c r="H331" s="166"/>
      <c r="I331" s="165"/>
      <c r="J331" s="160"/>
      <c r="K331" s="160"/>
      <c r="L331" s="166">
        <v>110.04519999999999</v>
      </c>
      <c r="M331" s="165">
        <v>172.47567000000001</v>
      </c>
      <c r="N331" s="165"/>
      <c r="O331" s="165"/>
      <c r="P331" s="160"/>
      <c r="Q331" s="166"/>
      <c r="R331" s="165"/>
      <c r="S331" s="165"/>
      <c r="T331" s="159"/>
      <c r="U331" s="160"/>
      <c r="V331" s="165"/>
      <c r="W331" s="165"/>
      <c r="X331" s="160"/>
      <c r="Y331" s="166"/>
      <c r="Z331" s="160"/>
      <c r="AA331" s="160"/>
      <c r="AB331" s="165"/>
      <c r="AC331" s="165"/>
      <c r="AD331" s="165"/>
      <c r="AE331" s="165"/>
      <c r="AF331" s="160"/>
      <c r="AG331" s="160"/>
      <c r="AH331" s="160"/>
      <c r="AI331" s="160"/>
      <c r="AJ331" s="161"/>
      <c r="AK331" s="162"/>
      <c r="AL331" s="165"/>
      <c r="AM331" s="166"/>
      <c r="AN331" s="165"/>
      <c r="AO331" s="160"/>
      <c r="AP331" s="162"/>
      <c r="AQ331" s="161"/>
      <c r="AR331" s="162"/>
      <c r="AS331" s="161"/>
      <c r="AT331" s="165"/>
      <c r="AU331" s="166"/>
      <c r="AV331" s="165"/>
      <c r="AW331" s="166"/>
      <c r="AX331" s="165"/>
      <c r="AY331" s="165"/>
      <c r="AZ331" s="165"/>
      <c r="BA331" s="165"/>
      <c r="BB331" s="166"/>
      <c r="BC331" s="165"/>
      <c r="BD331" s="165"/>
      <c r="BE331" s="165"/>
      <c r="BF331" s="165"/>
      <c r="BG331" s="165"/>
      <c r="BH331" s="165"/>
      <c r="BI331" s="165"/>
      <c r="BJ331" s="166"/>
      <c r="BK331" s="165"/>
      <c r="BL331" s="165"/>
      <c r="BM331" s="163"/>
      <c r="BN331" s="165"/>
      <c r="BO331" s="165"/>
      <c r="BP331" s="165"/>
      <c r="BQ331" s="167"/>
    </row>
    <row r="332" spans="1:270" ht="39.950000000000003" customHeight="1" outlineLevel="1" x14ac:dyDescent="0.3">
      <c r="A332" s="15" t="s">
        <v>426</v>
      </c>
      <c r="B332" s="12" t="s">
        <v>449</v>
      </c>
      <c r="C332" s="9" t="s">
        <v>28</v>
      </c>
      <c r="D332" s="66" t="s">
        <v>450</v>
      </c>
      <c r="E332" s="158">
        <f t="shared" si="68"/>
        <v>820.22635000000002</v>
      </c>
      <c r="F332" s="159">
        <f t="shared" si="69"/>
        <v>98.138909999999996</v>
      </c>
      <c r="G332" s="160">
        <f t="shared" si="70"/>
        <v>722.08744000000002</v>
      </c>
      <c r="H332" s="166">
        <v>45.160499999999999</v>
      </c>
      <c r="I332" s="165">
        <v>15.0535</v>
      </c>
      <c r="J332" s="160"/>
      <c r="K332" s="160"/>
      <c r="L332" s="166">
        <v>52.978409999999997</v>
      </c>
      <c r="M332" s="165">
        <v>83.033940000000001</v>
      </c>
      <c r="N332" s="165"/>
      <c r="O332" s="165"/>
      <c r="P332" s="160"/>
      <c r="Q332" s="166"/>
      <c r="R332" s="165"/>
      <c r="S332" s="165"/>
      <c r="T332" s="159"/>
      <c r="U332" s="160"/>
      <c r="V332" s="165"/>
      <c r="W332" s="165">
        <v>624</v>
      </c>
      <c r="X332" s="160"/>
      <c r="Y332" s="166"/>
      <c r="Z332" s="160"/>
      <c r="AA332" s="160"/>
      <c r="AB332" s="165"/>
      <c r="AC332" s="165"/>
      <c r="AD332" s="165"/>
      <c r="AE332" s="165"/>
      <c r="AF332" s="160"/>
      <c r="AG332" s="160"/>
      <c r="AH332" s="160"/>
      <c r="AI332" s="160"/>
      <c r="AJ332" s="161"/>
      <c r="AK332" s="162"/>
      <c r="AL332" s="165"/>
      <c r="AM332" s="166"/>
      <c r="AN332" s="165"/>
      <c r="AO332" s="160"/>
      <c r="AP332" s="162"/>
      <c r="AQ332" s="161"/>
      <c r="AR332" s="162"/>
      <c r="AS332" s="161"/>
      <c r="AT332" s="165"/>
      <c r="AU332" s="166"/>
      <c r="AV332" s="165"/>
      <c r="AW332" s="166"/>
      <c r="AX332" s="165"/>
      <c r="AY332" s="165"/>
      <c r="AZ332" s="165"/>
      <c r="BA332" s="165"/>
      <c r="BB332" s="166"/>
      <c r="BC332" s="165"/>
      <c r="BD332" s="165"/>
      <c r="BE332" s="165"/>
      <c r="BF332" s="165"/>
      <c r="BG332" s="165"/>
      <c r="BH332" s="165"/>
      <c r="BI332" s="165"/>
      <c r="BJ332" s="166"/>
      <c r="BK332" s="165"/>
      <c r="BL332" s="165"/>
      <c r="BM332" s="163"/>
      <c r="BN332" s="165"/>
      <c r="BO332" s="165"/>
      <c r="BP332" s="165"/>
      <c r="BQ332" s="167"/>
    </row>
    <row r="333" spans="1:270" ht="39.950000000000003" customHeight="1" outlineLevel="1" x14ac:dyDescent="0.3">
      <c r="A333" s="15" t="s">
        <v>426</v>
      </c>
      <c r="B333" s="12" t="s">
        <v>432</v>
      </c>
      <c r="C333" s="9" t="s">
        <v>30</v>
      </c>
      <c r="D333" s="66" t="s">
        <v>433</v>
      </c>
      <c r="E333" s="158">
        <f t="shared" si="68"/>
        <v>278.70272</v>
      </c>
      <c r="F333" s="159">
        <f t="shared" si="69"/>
        <v>136.92738</v>
      </c>
      <c r="G333" s="160">
        <f t="shared" si="70"/>
        <v>141.77534</v>
      </c>
      <c r="H333" s="166">
        <v>59.022849999999998</v>
      </c>
      <c r="I333" s="165">
        <v>19.67428</v>
      </c>
      <c r="J333" s="160"/>
      <c r="K333" s="160"/>
      <c r="L333" s="166">
        <v>77.904529999999994</v>
      </c>
      <c r="M333" s="165">
        <v>122.10106</v>
      </c>
      <c r="N333" s="165"/>
      <c r="O333" s="165"/>
      <c r="P333" s="160"/>
      <c r="Q333" s="166"/>
      <c r="R333" s="165"/>
      <c r="S333" s="165"/>
      <c r="T333" s="159"/>
      <c r="U333" s="160"/>
      <c r="V333" s="165"/>
      <c r="W333" s="165"/>
      <c r="X333" s="160"/>
      <c r="Y333" s="166"/>
      <c r="Z333" s="160"/>
      <c r="AA333" s="160"/>
      <c r="AB333" s="165"/>
      <c r="AC333" s="165"/>
      <c r="AD333" s="165"/>
      <c r="AE333" s="165"/>
      <c r="AF333" s="160"/>
      <c r="AG333" s="160"/>
      <c r="AH333" s="160"/>
      <c r="AI333" s="160"/>
      <c r="AJ333" s="161"/>
      <c r="AK333" s="162"/>
      <c r="AL333" s="165"/>
      <c r="AM333" s="166"/>
      <c r="AN333" s="165"/>
      <c r="AO333" s="160"/>
      <c r="AP333" s="162"/>
      <c r="AQ333" s="161"/>
      <c r="AR333" s="162"/>
      <c r="AS333" s="161"/>
      <c r="AT333" s="165"/>
      <c r="AU333" s="166"/>
      <c r="AV333" s="165"/>
      <c r="AW333" s="166"/>
      <c r="AX333" s="165"/>
      <c r="AY333" s="165"/>
      <c r="AZ333" s="165"/>
      <c r="BA333" s="165"/>
      <c r="BB333" s="166"/>
      <c r="BC333" s="165"/>
      <c r="BD333" s="165"/>
      <c r="BE333" s="165"/>
      <c r="BF333" s="165"/>
      <c r="BG333" s="165"/>
      <c r="BH333" s="165"/>
      <c r="BI333" s="165"/>
      <c r="BJ333" s="166"/>
      <c r="BK333" s="165"/>
      <c r="BL333" s="165"/>
      <c r="BM333" s="163"/>
      <c r="BN333" s="165"/>
      <c r="BO333" s="165"/>
      <c r="BP333" s="165"/>
      <c r="BQ333" s="167"/>
    </row>
    <row r="334" spans="1:270" ht="39.950000000000003" customHeight="1" outlineLevel="1" x14ac:dyDescent="0.3">
      <c r="A334" s="15" t="s">
        <v>426</v>
      </c>
      <c r="B334" s="12" t="s">
        <v>459</v>
      </c>
      <c r="C334" s="9" t="s">
        <v>30</v>
      </c>
      <c r="D334" s="66" t="s">
        <v>1195</v>
      </c>
      <c r="E334" s="158">
        <f t="shared" si="68"/>
        <v>3905.2678800000003</v>
      </c>
      <c r="F334" s="159">
        <f t="shared" si="69"/>
        <v>1251.5727899999999</v>
      </c>
      <c r="G334" s="160">
        <f t="shared" si="70"/>
        <v>2653.6950900000002</v>
      </c>
      <c r="H334" s="166">
        <v>1071.5355</v>
      </c>
      <c r="I334" s="170">
        <v>357.17849999999999</v>
      </c>
      <c r="J334" s="160"/>
      <c r="K334" s="160"/>
      <c r="L334" s="166">
        <v>180.03729000000001</v>
      </c>
      <c r="M334" s="165">
        <v>282.17541999999997</v>
      </c>
      <c r="N334" s="165"/>
      <c r="O334" s="165"/>
      <c r="P334" s="160"/>
      <c r="Q334" s="166"/>
      <c r="R334" s="165"/>
      <c r="S334" s="165"/>
      <c r="T334" s="159"/>
      <c r="U334" s="160"/>
      <c r="V334" s="165"/>
      <c r="W334" s="165">
        <v>216.32</v>
      </c>
      <c r="X334" s="160"/>
      <c r="Y334" s="166"/>
      <c r="Z334" s="160"/>
      <c r="AA334" s="160"/>
      <c r="AB334" s="165"/>
      <c r="AC334" s="165"/>
      <c r="AD334" s="165"/>
      <c r="AE334" s="165"/>
      <c r="AF334" s="160"/>
      <c r="AG334" s="160"/>
      <c r="AH334" s="160"/>
      <c r="AI334" s="160"/>
      <c r="AJ334" s="161"/>
      <c r="AK334" s="162"/>
      <c r="AL334" s="165"/>
      <c r="AM334" s="166"/>
      <c r="AN334" s="165"/>
      <c r="AO334" s="160"/>
      <c r="AP334" s="162"/>
      <c r="AQ334" s="161"/>
      <c r="AR334" s="162"/>
      <c r="AS334" s="161"/>
      <c r="AT334" s="165"/>
      <c r="AU334" s="166"/>
      <c r="AV334" s="165"/>
      <c r="AW334" s="166"/>
      <c r="AX334" s="165"/>
      <c r="AY334" s="165"/>
      <c r="AZ334" s="165"/>
      <c r="BA334" s="165"/>
      <c r="BB334" s="166"/>
      <c r="BC334" s="165"/>
      <c r="BD334" s="165"/>
      <c r="BE334" s="165">
        <v>1798.02117</v>
      </c>
      <c r="BF334" s="165"/>
      <c r="BG334" s="165"/>
      <c r="BH334" s="165"/>
      <c r="BI334" s="165"/>
      <c r="BJ334" s="166"/>
      <c r="BK334" s="165"/>
      <c r="BL334" s="165"/>
      <c r="BM334" s="163"/>
      <c r="BN334" s="165"/>
      <c r="BO334" s="165"/>
      <c r="BP334" s="165"/>
      <c r="BQ334" s="167"/>
    </row>
    <row r="335" spans="1:270" ht="39.950000000000003" customHeight="1" outlineLevel="1" x14ac:dyDescent="0.3">
      <c r="A335" s="15" t="s">
        <v>426</v>
      </c>
      <c r="B335" s="12" t="s">
        <v>1118</v>
      </c>
      <c r="C335" s="9" t="s">
        <v>30</v>
      </c>
      <c r="D335" s="66" t="s">
        <v>1197</v>
      </c>
      <c r="E335" s="158">
        <f t="shared" si="68"/>
        <v>67.358239999999995</v>
      </c>
      <c r="F335" s="159">
        <f t="shared" si="69"/>
        <v>35.116730000000004</v>
      </c>
      <c r="G335" s="160">
        <f t="shared" si="70"/>
        <v>32.241509999999998</v>
      </c>
      <c r="H335" s="166">
        <v>18.47475</v>
      </c>
      <c r="I335" s="165">
        <v>6.1582499999999998</v>
      </c>
      <c r="J335" s="160"/>
      <c r="K335" s="160"/>
      <c r="L335" s="166">
        <v>16.64198</v>
      </c>
      <c r="M335" s="165">
        <v>26.083259999999999</v>
      </c>
      <c r="N335" s="165"/>
      <c r="O335" s="165"/>
      <c r="P335" s="160"/>
      <c r="Q335" s="166"/>
      <c r="R335" s="165"/>
      <c r="S335" s="165"/>
      <c r="T335" s="159"/>
      <c r="U335" s="160"/>
      <c r="V335" s="165"/>
      <c r="W335" s="165"/>
      <c r="X335" s="160"/>
      <c r="Y335" s="166"/>
      <c r="Z335" s="160"/>
      <c r="AA335" s="160"/>
      <c r="AB335" s="165"/>
      <c r="AC335" s="165"/>
      <c r="AD335" s="165"/>
      <c r="AE335" s="165"/>
      <c r="AF335" s="160"/>
      <c r="AG335" s="160"/>
      <c r="AH335" s="160"/>
      <c r="AI335" s="160"/>
      <c r="AJ335" s="161"/>
      <c r="AK335" s="162"/>
      <c r="AL335" s="165"/>
      <c r="AM335" s="166"/>
      <c r="AN335" s="165"/>
      <c r="AO335" s="160"/>
      <c r="AP335" s="162"/>
      <c r="AQ335" s="161"/>
      <c r="AR335" s="162"/>
      <c r="AS335" s="161"/>
      <c r="AT335" s="165"/>
      <c r="AU335" s="166"/>
      <c r="AV335" s="165"/>
      <c r="AW335" s="166"/>
      <c r="AX335" s="165"/>
      <c r="AY335" s="165"/>
      <c r="AZ335" s="165"/>
      <c r="BA335" s="165"/>
      <c r="BB335" s="166"/>
      <c r="BC335" s="165"/>
      <c r="BD335" s="165"/>
      <c r="BE335" s="165"/>
      <c r="BF335" s="165"/>
      <c r="BG335" s="165"/>
      <c r="BH335" s="165"/>
      <c r="BI335" s="165"/>
      <c r="BJ335" s="166"/>
      <c r="BK335" s="165"/>
      <c r="BL335" s="165"/>
      <c r="BM335" s="163"/>
      <c r="BN335" s="165"/>
      <c r="BO335" s="165"/>
      <c r="BP335" s="165"/>
      <c r="BQ335" s="167"/>
    </row>
    <row r="336" spans="1:270" ht="39.950000000000003" customHeight="1" outlineLevel="1" x14ac:dyDescent="0.3">
      <c r="A336" s="15" t="s">
        <v>426</v>
      </c>
      <c r="B336" s="12" t="s">
        <v>1481</v>
      </c>
      <c r="C336" s="9" t="s">
        <v>30</v>
      </c>
      <c r="D336" s="68">
        <v>244501059412</v>
      </c>
      <c r="E336" s="158">
        <f t="shared" si="68"/>
        <v>111.77125000000001</v>
      </c>
      <c r="F336" s="159">
        <f t="shared" si="69"/>
        <v>56.26699</v>
      </c>
      <c r="G336" s="160">
        <f t="shared" si="70"/>
        <v>55.504260000000002</v>
      </c>
      <c r="H336" s="166">
        <v>26.486519999999999</v>
      </c>
      <c r="I336" s="165">
        <v>8.8288399999999996</v>
      </c>
      <c r="J336" s="160"/>
      <c r="K336" s="160"/>
      <c r="L336" s="166">
        <v>29.780470000000001</v>
      </c>
      <c r="M336" s="165">
        <v>46.675420000000003</v>
      </c>
      <c r="N336" s="165"/>
      <c r="O336" s="165"/>
      <c r="P336" s="160"/>
      <c r="Q336" s="166"/>
      <c r="R336" s="165"/>
      <c r="S336" s="165"/>
      <c r="T336" s="159"/>
      <c r="U336" s="160"/>
      <c r="V336" s="165"/>
      <c r="W336" s="165"/>
      <c r="X336" s="160"/>
      <c r="Y336" s="166"/>
      <c r="Z336" s="160"/>
      <c r="AA336" s="160"/>
      <c r="AB336" s="165"/>
      <c r="AC336" s="165"/>
      <c r="AD336" s="165"/>
      <c r="AE336" s="165"/>
      <c r="AF336" s="160"/>
      <c r="AG336" s="160"/>
      <c r="AH336" s="160"/>
      <c r="AI336" s="160"/>
      <c r="AJ336" s="161"/>
      <c r="AK336" s="162"/>
      <c r="AL336" s="165"/>
      <c r="AM336" s="166"/>
      <c r="AN336" s="165"/>
      <c r="AO336" s="160"/>
      <c r="AP336" s="162"/>
      <c r="AQ336" s="161"/>
      <c r="AR336" s="162"/>
      <c r="AS336" s="161"/>
      <c r="AT336" s="165"/>
      <c r="AU336" s="166"/>
      <c r="AV336" s="165"/>
      <c r="AW336" s="166"/>
      <c r="AX336" s="165"/>
      <c r="AY336" s="165"/>
      <c r="AZ336" s="165"/>
      <c r="BA336" s="165"/>
      <c r="BB336" s="166"/>
      <c r="BC336" s="165"/>
      <c r="BD336" s="165"/>
      <c r="BE336" s="165"/>
      <c r="BF336" s="165"/>
      <c r="BG336" s="165"/>
      <c r="BH336" s="165"/>
      <c r="BI336" s="165"/>
      <c r="BJ336" s="166"/>
      <c r="BK336" s="165"/>
      <c r="BL336" s="165"/>
      <c r="BM336" s="163"/>
      <c r="BN336" s="165"/>
      <c r="BO336" s="165"/>
      <c r="BP336" s="165"/>
      <c r="BQ336" s="167"/>
    </row>
    <row r="337" spans="1:69" ht="39.950000000000003" customHeight="1" outlineLevel="1" x14ac:dyDescent="0.3">
      <c r="A337" s="15" t="s">
        <v>426</v>
      </c>
      <c r="B337" s="12" t="s">
        <v>460</v>
      </c>
      <c r="C337" s="9" t="s">
        <v>30</v>
      </c>
      <c r="D337" s="66" t="s">
        <v>1196</v>
      </c>
      <c r="E337" s="158">
        <f t="shared" si="68"/>
        <v>101.35738000000001</v>
      </c>
      <c r="F337" s="159">
        <f t="shared" si="69"/>
        <v>39.479889999999997</v>
      </c>
      <c r="G337" s="160">
        <f t="shared" si="70"/>
        <v>61.877490000000002</v>
      </c>
      <c r="H337" s="166"/>
      <c r="I337" s="170"/>
      <c r="J337" s="160"/>
      <c r="K337" s="160"/>
      <c r="L337" s="166">
        <v>39.479889999999997</v>
      </c>
      <c r="M337" s="165">
        <v>61.877490000000002</v>
      </c>
      <c r="N337" s="165"/>
      <c r="O337" s="165"/>
      <c r="P337" s="160"/>
      <c r="Q337" s="166"/>
      <c r="R337" s="165"/>
      <c r="S337" s="165"/>
      <c r="T337" s="159"/>
      <c r="U337" s="160"/>
      <c r="V337" s="165"/>
      <c r="W337" s="165"/>
      <c r="X337" s="160"/>
      <c r="Y337" s="166"/>
      <c r="Z337" s="160"/>
      <c r="AA337" s="160"/>
      <c r="AB337" s="165"/>
      <c r="AC337" s="165"/>
      <c r="AD337" s="165"/>
      <c r="AE337" s="165"/>
      <c r="AF337" s="160"/>
      <c r="AG337" s="160"/>
      <c r="AH337" s="160"/>
      <c r="AI337" s="160"/>
      <c r="AJ337" s="161"/>
      <c r="AK337" s="162"/>
      <c r="AL337" s="165"/>
      <c r="AM337" s="166"/>
      <c r="AN337" s="165"/>
      <c r="AO337" s="160"/>
      <c r="AP337" s="162"/>
      <c r="AQ337" s="161"/>
      <c r="AR337" s="162"/>
      <c r="AS337" s="161"/>
      <c r="AT337" s="165"/>
      <c r="AU337" s="166"/>
      <c r="AV337" s="165"/>
      <c r="AW337" s="166"/>
      <c r="AX337" s="165"/>
      <c r="AY337" s="165"/>
      <c r="AZ337" s="165"/>
      <c r="BA337" s="165"/>
      <c r="BB337" s="166"/>
      <c r="BC337" s="165"/>
      <c r="BD337" s="165"/>
      <c r="BE337" s="165"/>
      <c r="BF337" s="165"/>
      <c r="BG337" s="165"/>
      <c r="BH337" s="165"/>
      <c r="BI337" s="165"/>
      <c r="BJ337" s="166"/>
      <c r="BK337" s="165"/>
      <c r="BL337" s="165"/>
      <c r="BM337" s="163"/>
      <c r="BN337" s="165"/>
      <c r="BO337" s="165"/>
      <c r="BP337" s="165"/>
      <c r="BQ337" s="167"/>
    </row>
    <row r="338" spans="1:69" ht="39.950000000000003" customHeight="1" outlineLevel="1" x14ac:dyDescent="0.3">
      <c r="A338" s="15" t="s">
        <v>426</v>
      </c>
      <c r="B338" s="12" t="s">
        <v>436</v>
      </c>
      <c r="C338" s="9" t="s">
        <v>30</v>
      </c>
      <c r="D338" s="66" t="s">
        <v>437</v>
      </c>
      <c r="E338" s="158">
        <f t="shared" si="68"/>
        <v>2742.5956600000004</v>
      </c>
      <c r="F338" s="159">
        <f t="shared" si="69"/>
        <v>55.54269</v>
      </c>
      <c r="G338" s="160">
        <f t="shared" si="70"/>
        <v>2687.0529700000002</v>
      </c>
      <c r="H338" s="166"/>
      <c r="I338" s="165"/>
      <c r="J338" s="160"/>
      <c r="K338" s="160"/>
      <c r="L338" s="166">
        <v>55.54269</v>
      </c>
      <c r="M338" s="165">
        <v>87.052970000000002</v>
      </c>
      <c r="N338" s="165"/>
      <c r="O338" s="165"/>
      <c r="P338" s="160"/>
      <c r="Q338" s="166"/>
      <c r="R338" s="165"/>
      <c r="S338" s="165"/>
      <c r="T338" s="159"/>
      <c r="U338" s="160"/>
      <c r="V338" s="165"/>
      <c r="W338" s="165"/>
      <c r="X338" s="160"/>
      <c r="Y338" s="166"/>
      <c r="Z338" s="160"/>
      <c r="AA338" s="160"/>
      <c r="AB338" s="165"/>
      <c r="AC338" s="165"/>
      <c r="AD338" s="165"/>
      <c r="AE338" s="165"/>
      <c r="AF338" s="160"/>
      <c r="AG338" s="160"/>
      <c r="AH338" s="160"/>
      <c r="AI338" s="160"/>
      <c r="AJ338" s="161"/>
      <c r="AK338" s="162"/>
      <c r="AL338" s="165"/>
      <c r="AM338" s="166"/>
      <c r="AN338" s="165"/>
      <c r="AO338" s="160"/>
      <c r="AP338" s="162"/>
      <c r="AQ338" s="161"/>
      <c r="AR338" s="162"/>
      <c r="AS338" s="161"/>
      <c r="AT338" s="165"/>
      <c r="AU338" s="166"/>
      <c r="AV338" s="165"/>
      <c r="AW338" s="166"/>
      <c r="AX338" s="165"/>
      <c r="AY338" s="165"/>
      <c r="AZ338" s="165"/>
      <c r="BA338" s="165"/>
      <c r="BB338" s="166"/>
      <c r="BC338" s="165"/>
      <c r="BD338" s="165"/>
      <c r="BE338" s="165"/>
      <c r="BF338" s="165"/>
      <c r="BG338" s="165"/>
      <c r="BH338" s="165">
        <v>2600</v>
      </c>
      <c r="BI338" s="165"/>
      <c r="BJ338" s="166"/>
      <c r="BK338" s="165"/>
      <c r="BL338" s="165"/>
      <c r="BM338" s="163"/>
      <c r="BN338" s="165"/>
      <c r="BO338" s="165"/>
      <c r="BP338" s="165"/>
      <c r="BQ338" s="167"/>
    </row>
    <row r="339" spans="1:69" ht="39.950000000000003" customHeight="1" outlineLevel="1" x14ac:dyDescent="0.3">
      <c r="A339" s="15" t="s">
        <v>426</v>
      </c>
      <c r="B339" s="12" t="s">
        <v>453</v>
      </c>
      <c r="C339" s="9" t="s">
        <v>30</v>
      </c>
      <c r="D339" s="66">
        <v>241600433489</v>
      </c>
      <c r="E339" s="158">
        <f t="shared" si="68"/>
        <v>10636.635799999998</v>
      </c>
      <c r="F339" s="159">
        <f t="shared" si="69"/>
        <v>50.004420000000003</v>
      </c>
      <c r="G339" s="160">
        <f t="shared" si="70"/>
        <v>10586.631379999999</v>
      </c>
      <c r="H339" s="166"/>
      <c r="I339" s="165"/>
      <c r="J339" s="160"/>
      <c r="K339" s="160"/>
      <c r="L339" s="166">
        <v>50.004420000000003</v>
      </c>
      <c r="M339" s="165">
        <v>78.37276</v>
      </c>
      <c r="N339" s="165"/>
      <c r="O339" s="165"/>
      <c r="P339" s="160"/>
      <c r="Q339" s="166"/>
      <c r="R339" s="165"/>
      <c r="S339" s="165"/>
      <c r="T339" s="159"/>
      <c r="U339" s="160"/>
      <c r="V339" s="165"/>
      <c r="W339" s="165">
        <v>124.8</v>
      </c>
      <c r="X339" s="160"/>
      <c r="Y339" s="166"/>
      <c r="Z339" s="160"/>
      <c r="AA339" s="160"/>
      <c r="AB339" s="165"/>
      <c r="AC339" s="165"/>
      <c r="AD339" s="165"/>
      <c r="AE339" s="165"/>
      <c r="AF339" s="160"/>
      <c r="AG339" s="160"/>
      <c r="AH339" s="160"/>
      <c r="AI339" s="160"/>
      <c r="AJ339" s="161"/>
      <c r="AK339" s="162"/>
      <c r="AL339" s="165"/>
      <c r="AM339" s="166"/>
      <c r="AN339" s="165"/>
      <c r="AO339" s="160"/>
      <c r="AP339" s="162"/>
      <c r="AQ339" s="161"/>
      <c r="AR339" s="162"/>
      <c r="AS339" s="161"/>
      <c r="AT339" s="165"/>
      <c r="AU339" s="166"/>
      <c r="AV339" s="165"/>
      <c r="AW339" s="166"/>
      <c r="AX339" s="165"/>
      <c r="AY339" s="165"/>
      <c r="AZ339" s="165"/>
      <c r="BA339" s="165"/>
      <c r="BB339" s="166"/>
      <c r="BC339" s="165"/>
      <c r="BD339" s="165"/>
      <c r="BE339" s="165">
        <v>374.59462000000002</v>
      </c>
      <c r="BF339" s="165"/>
      <c r="BG339" s="165"/>
      <c r="BH339" s="165"/>
      <c r="BI339" s="165"/>
      <c r="BJ339" s="166"/>
      <c r="BK339" s="165"/>
      <c r="BL339" s="165"/>
      <c r="BM339" s="163">
        <v>10008.864</v>
      </c>
      <c r="BN339" s="165"/>
      <c r="BO339" s="165"/>
      <c r="BP339" s="165"/>
      <c r="BQ339" s="167"/>
    </row>
    <row r="340" spans="1:69" ht="39.950000000000003" customHeight="1" outlineLevel="1" x14ac:dyDescent="0.3">
      <c r="A340" s="15" t="s">
        <v>426</v>
      </c>
      <c r="B340" s="12" t="s">
        <v>434</v>
      </c>
      <c r="C340" s="9" t="s">
        <v>30</v>
      </c>
      <c r="D340" s="68" t="s">
        <v>435</v>
      </c>
      <c r="E340" s="158">
        <f t="shared" si="68"/>
        <v>117.75050999999999</v>
      </c>
      <c r="F340" s="159">
        <f t="shared" si="69"/>
        <v>45.865209999999998</v>
      </c>
      <c r="G340" s="160">
        <f t="shared" si="70"/>
        <v>71.885300000000001</v>
      </c>
      <c r="H340" s="166"/>
      <c r="I340" s="165"/>
      <c r="J340" s="160"/>
      <c r="K340" s="160"/>
      <c r="L340" s="166">
        <v>45.865209999999998</v>
      </c>
      <c r="M340" s="165">
        <v>71.885300000000001</v>
      </c>
      <c r="N340" s="165"/>
      <c r="O340" s="165"/>
      <c r="P340" s="160"/>
      <c r="Q340" s="166"/>
      <c r="R340" s="165"/>
      <c r="S340" s="165"/>
      <c r="T340" s="159"/>
      <c r="U340" s="160"/>
      <c r="V340" s="165"/>
      <c r="W340" s="165"/>
      <c r="X340" s="160"/>
      <c r="Y340" s="166"/>
      <c r="Z340" s="160"/>
      <c r="AA340" s="160"/>
      <c r="AB340" s="165"/>
      <c r="AC340" s="165"/>
      <c r="AD340" s="165"/>
      <c r="AE340" s="165"/>
      <c r="AF340" s="160"/>
      <c r="AG340" s="160"/>
      <c r="AH340" s="160"/>
      <c r="AI340" s="160"/>
      <c r="AJ340" s="161"/>
      <c r="AK340" s="162"/>
      <c r="AL340" s="165"/>
      <c r="AM340" s="166"/>
      <c r="AN340" s="165"/>
      <c r="AO340" s="160"/>
      <c r="AP340" s="162"/>
      <c r="AQ340" s="161"/>
      <c r="AR340" s="162"/>
      <c r="AS340" s="161"/>
      <c r="AT340" s="165"/>
      <c r="AU340" s="166"/>
      <c r="AV340" s="165"/>
      <c r="AW340" s="166"/>
      <c r="AX340" s="165"/>
      <c r="AY340" s="165"/>
      <c r="AZ340" s="165"/>
      <c r="BA340" s="165"/>
      <c r="BB340" s="166"/>
      <c r="BC340" s="165"/>
      <c r="BD340" s="165"/>
      <c r="BE340" s="165"/>
      <c r="BF340" s="165"/>
      <c r="BG340" s="165"/>
      <c r="BH340" s="165"/>
      <c r="BI340" s="165"/>
      <c r="BJ340" s="166"/>
      <c r="BK340" s="165"/>
      <c r="BL340" s="165"/>
      <c r="BM340" s="163"/>
      <c r="BN340" s="165"/>
      <c r="BO340" s="165"/>
      <c r="BP340" s="165"/>
      <c r="BQ340" s="167"/>
    </row>
    <row r="341" spans="1:69" ht="39.950000000000003" customHeight="1" outlineLevel="1" x14ac:dyDescent="0.3">
      <c r="A341" s="15" t="s">
        <v>426</v>
      </c>
      <c r="B341" s="12" t="s">
        <v>438</v>
      </c>
      <c r="C341" s="9" t="s">
        <v>30</v>
      </c>
      <c r="D341" s="66">
        <v>241601413608</v>
      </c>
      <c r="E341" s="158">
        <f t="shared" si="68"/>
        <v>116.00983000000001</v>
      </c>
      <c r="F341" s="159">
        <f t="shared" si="69"/>
        <v>54.067100000000003</v>
      </c>
      <c r="G341" s="160">
        <f t="shared" si="70"/>
        <v>61.942730000000005</v>
      </c>
      <c r="H341" s="166">
        <v>18.47475</v>
      </c>
      <c r="I341" s="165">
        <v>6.1582499999999998</v>
      </c>
      <c r="J341" s="160"/>
      <c r="K341" s="160"/>
      <c r="L341" s="166">
        <v>35.592350000000003</v>
      </c>
      <c r="M341" s="165">
        <v>55.784480000000002</v>
      </c>
      <c r="N341" s="165"/>
      <c r="O341" s="165"/>
      <c r="P341" s="160"/>
      <c r="Q341" s="166"/>
      <c r="R341" s="165"/>
      <c r="S341" s="165"/>
      <c r="T341" s="159"/>
      <c r="U341" s="160"/>
      <c r="V341" s="165"/>
      <c r="W341" s="165"/>
      <c r="X341" s="160"/>
      <c r="Y341" s="166"/>
      <c r="Z341" s="160"/>
      <c r="AA341" s="160"/>
      <c r="AB341" s="165"/>
      <c r="AC341" s="165"/>
      <c r="AD341" s="165"/>
      <c r="AE341" s="165"/>
      <c r="AF341" s="160"/>
      <c r="AG341" s="160"/>
      <c r="AH341" s="160"/>
      <c r="AI341" s="160"/>
      <c r="AJ341" s="161"/>
      <c r="AK341" s="162"/>
      <c r="AL341" s="165"/>
      <c r="AM341" s="166"/>
      <c r="AN341" s="165"/>
      <c r="AO341" s="160"/>
      <c r="AP341" s="162"/>
      <c r="AQ341" s="161"/>
      <c r="AR341" s="162"/>
      <c r="AS341" s="161"/>
      <c r="AT341" s="165"/>
      <c r="AU341" s="166"/>
      <c r="AV341" s="165"/>
      <c r="AW341" s="166"/>
      <c r="AX341" s="165"/>
      <c r="AY341" s="165"/>
      <c r="AZ341" s="165"/>
      <c r="BA341" s="165"/>
      <c r="BB341" s="166"/>
      <c r="BC341" s="165"/>
      <c r="BD341" s="165"/>
      <c r="BE341" s="165"/>
      <c r="BF341" s="165"/>
      <c r="BG341" s="165"/>
      <c r="BH341" s="165"/>
      <c r="BI341" s="165"/>
      <c r="BJ341" s="166"/>
      <c r="BK341" s="165"/>
      <c r="BL341" s="165"/>
      <c r="BM341" s="163"/>
      <c r="BN341" s="165"/>
      <c r="BO341" s="165"/>
      <c r="BP341" s="165"/>
      <c r="BQ341" s="167"/>
    </row>
    <row r="342" spans="1:69" ht="39.950000000000003" customHeight="1" outlineLevel="1" x14ac:dyDescent="0.3">
      <c r="A342" s="15" t="s">
        <v>426</v>
      </c>
      <c r="B342" s="12" t="s">
        <v>439</v>
      </c>
      <c r="C342" s="9" t="s">
        <v>30</v>
      </c>
      <c r="D342" s="66" t="s">
        <v>440</v>
      </c>
      <c r="E342" s="158">
        <f t="shared" si="68"/>
        <v>47.923299999999998</v>
      </c>
      <c r="F342" s="159">
        <f t="shared" si="69"/>
        <v>18.666689999999999</v>
      </c>
      <c r="G342" s="160">
        <f t="shared" si="70"/>
        <v>29.256609999999998</v>
      </c>
      <c r="H342" s="166"/>
      <c r="I342" s="165"/>
      <c r="J342" s="160"/>
      <c r="K342" s="160"/>
      <c r="L342" s="166">
        <f>15.56667+3.10002</f>
        <v>18.666689999999999</v>
      </c>
      <c r="M342" s="165">
        <f>24.39791+4.8587</f>
        <v>29.256609999999998</v>
      </c>
      <c r="N342" s="165"/>
      <c r="O342" s="165"/>
      <c r="P342" s="160"/>
      <c r="Q342" s="166"/>
      <c r="R342" s="165"/>
      <c r="S342" s="165"/>
      <c r="T342" s="159"/>
      <c r="U342" s="160"/>
      <c r="V342" s="165"/>
      <c r="W342" s="165"/>
      <c r="X342" s="160"/>
      <c r="Y342" s="166"/>
      <c r="Z342" s="160"/>
      <c r="AA342" s="160"/>
      <c r="AB342" s="165"/>
      <c r="AC342" s="165"/>
      <c r="AD342" s="165"/>
      <c r="AE342" s="165"/>
      <c r="AF342" s="160"/>
      <c r="AG342" s="160"/>
      <c r="AH342" s="160"/>
      <c r="AI342" s="160"/>
      <c r="AJ342" s="161"/>
      <c r="AK342" s="162"/>
      <c r="AL342" s="165"/>
      <c r="AM342" s="166"/>
      <c r="AN342" s="165"/>
      <c r="AO342" s="160"/>
      <c r="AP342" s="162"/>
      <c r="AQ342" s="161"/>
      <c r="AR342" s="162"/>
      <c r="AS342" s="161"/>
      <c r="AT342" s="165"/>
      <c r="AU342" s="166"/>
      <c r="AV342" s="165"/>
      <c r="AW342" s="166"/>
      <c r="AX342" s="165"/>
      <c r="AY342" s="165"/>
      <c r="AZ342" s="165"/>
      <c r="BA342" s="165"/>
      <c r="BB342" s="166"/>
      <c r="BC342" s="165"/>
      <c r="BD342" s="165"/>
      <c r="BE342" s="165"/>
      <c r="BF342" s="165"/>
      <c r="BG342" s="165"/>
      <c r="BH342" s="165"/>
      <c r="BI342" s="165"/>
      <c r="BJ342" s="166"/>
      <c r="BK342" s="165"/>
      <c r="BL342" s="165"/>
      <c r="BM342" s="163"/>
      <c r="BN342" s="165"/>
      <c r="BO342" s="165"/>
      <c r="BP342" s="165"/>
      <c r="BQ342" s="167"/>
    </row>
    <row r="343" spans="1:69" ht="39.950000000000003" customHeight="1" outlineLevel="1" x14ac:dyDescent="0.3">
      <c r="A343" s="15" t="s">
        <v>426</v>
      </c>
      <c r="B343" s="12" t="s">
        <v>1392</v>
      </c>
      <c r="C343" s="9" t="s">
        <v>30</v>
      </c>
      <c r="D343" s="66">
        <v>245303744506</v>
      </c>
      <c r="E343" s="158">
        <f t="shared" si="68"/>
        <v>4298.1595500000003</v>
      </c>
      <c r="F343" s="159">
        <f t="shared" si="69"/>
        <v>404.84035</v>
      </c>
      <c r="G343" s="160">
        <f t="shared" si="70"/>
        <v>3893.3191999999999</v>
      </c>
      <c r="H343" s="166"/>
      <c r="I343" s="165"/>
      <c r="J343" s="160"/>
      <c r="K343" s="160"/>
      <c r="L343" s="166">
        <v>404.84035</v>
      </c>
      <c r="M343" s="165">
        <v>634.51298999999995</v>
      </c>
      <c r="N343" s="165"/>
      <c r="O343" s="165"/>
      <c r="P343" s="160"/>
      <c r="Q343" s="166"/>
      <c r="R343" s="165"/>
      <c r="S343" s="165"/>
      <c r="T343" s="159"/>
      <c r="U343" s="160"/>
      <c r="V343" s="165"/>
      <c r="W343" s="165"/>
      <c r="X343" s="160"/>
      <c r="Y343" s="166"/>
      <c r="Z343" s="160"/>
      <c r="AA343" s="160">
        <v>3258.8062100000002</v>
      </c>
      <c r="AB343" s="165"/>
      <c r="AC343" s="165"/>
      <c r="AD343" s="165"/>
      <c r="AE343" s="165"/>
      <c r="AF343" s="160"/>
      <c r="AG343" s="160"/>
      <c r="AH343" s="160"/>
      <c r="AI343" s="160"/>
      <c r="AJ343" s="161"/>
      <c r="AK343" s="162"/>
      <c r="AL343" s="165"/>
      <c r="AM343" s="166"/>
      <c r="AN343" s="165"/>
      <c r="AO343" s="160"/>
      <c r="AP343" s="162"/>
      <c r="AQ343" s="161"/>
      <c r="AR343" s="162"/>
      <c r="AS343" s="161"/>
      <c r="AT343" s="165"/>
      <c r="AU343" s="166"/>
      <c r="AV343" s="165"/>
      <c r="AW343" s="166"/>
      <c r="AX343" s="165"/>
      <c r="AY343" s="165"/>
      <c r="AZ343" s="165"/>
      <c r="BA343" s="165"/>
      <c r="BB343" s="166"/>
      <c r="BC343" s="165"/>
      <c r="BD343" s="165"/>
      <c r="BE343" s="165"/>
      <c r="BF343" s="165"/>
      <c r="BG343" s="165"/>
      <c r="BH343" s="165"/>
      <c r="BI343" s="165"/>
      <c r="BJ343" s="166"/>
      <c r="BK343" s="165"/>
      <c r="BL343" s="165"/>
      <c r="BM343" s="163"/>
      <c r="BN343" s="165"/>
      <c r="BO343" s="165"/>
      <c r="BP343" s="165"/>
      <c r="BQ343" s="167"/>
    </row>
    <row r="344" spans="1:69" ht="39.950000000000003" customHeight="1" outlineLevel="1" x14ac:dyDescent="0.3">
      <c r="A344" s="15" t="s">
        <v>426</v>
      </c>
      <c r="B344" s="12" t="s">
        <v>441</v>
      </c>
      <c r="C344" s="9" t="s">
        <v>30</v>
      </c>
      <c r="D344" s="66" t="s">
        <v>442</v>
      </c>
      <c r="E344" s="158">
        <f t="shared" si="68"/>
        <v>124.55824999999999</v>
      </c>
      <c r="F344" s="159">
        <f t="shared" si="69"/>
        <v>48.5169</v>
      </c>
      <c r="G344" s="160">
        <f t="shared" si="70"/>
        <v>76.041349999999994</v>
      </c>
      <c r="H344" s="166"/>
      <c r="I344" s="165"/>
      <c r="J344" s="160"/>
      <c r="K344" s="160"/>
      <c r="L344" s="166">
        <v>48.5169</v>
      </c>
      <c r="M344" s="165">
        <v>76.041349999999994</v>
      </c>
      <c r="N344" s="165"/>
      <c r="O344" s="165"/>
      <c r="P344" s="160"/>
      <c r="Q344" s="166"/>
      <c r="R344" s="165"/>
      <c r="S344" s="165"/>
      <c r="T344" s="159"/>
      <c r="U344" s="160"/>
      <c r="V344" s="165"/>
      <c r="W344" s="165"/>
      <c r="X344" s="160"/>
      <c r="Y344" s="166"/>
      <c r="Z344" s="160"/>
      <c r="AA344" s="160"/>
      <c r="AB344" s="165"/>
      <c r="AC344" s="165"/>
      <c r="AD344" s="165"/>
      <c r="AE344" s="165"/>
      <c r="AF344" s="160"/>
      <c r="AG344" s="160"/>
      <c r="AH344" s="160"/>
      <c r="AI344" s="160"/>
      <c r="AJ344" s="161"/>
      <c r="AK344" s="162"/>
      <c r="AL344" s="165"/>
      <c r="AM344" s="166"/>
      <c r="AN344" s="165"/>
      <c r="AO344" s="160"/>
      <c r="AP344" s="162"/>
      <c r="AQ344" s="161"/>
      <c r="AR344" s="162"/>
      <c r="AS344" s="161"/>
      <c r="AT344" s="165"/>
      <c r="AU344" s="166"/>
      <c r="AV344" s="165"/>
      <c r="AW344" s="166"/>
      <c r="AX344" s="165"/>
      <c r="AY344" s="165"/>
      <c r="AZ344" s="165"/>
      <c r="BA344" s="165"/>
      <c r="BB344" s="166"/>
      <c r="BC344" s="165"/>
      <c r="BD344" s="165"/>
      <c r="BE344" s="165"/>
      <c r="BF344" s="165"/>
      <c r="BG344" s="165"/>
      <c r="BH344" s="165"/>
      <c r="BI344" s="165"/>
      <c r="BJ344" s="166"/>
      <c r="BK344" s="165"/>
      <c r="BL344" s="165"/>
      <c r="BM344" s="163"/>
      <c r="BN344" s="165"/>
      <c r="BO344" s="165"/>
      <c r="BP344" s="165"/>
      <c r="BQ344" s="167"/>
    </row>
    <row r="345" spans="1:69" ht="39.950000000000003" customHeight="1" outlineLevel="1" x14ac:dyDescent="0.3">
      <c r="A345" s="15" t="s">
        <v>426</v>
      </c>
      <c r="B345" s="12" t="s">
        <v>1331</v>
      </c>
      <c r="C345" s="9" t="s">
        <v>30</v>
      </c>
      <c r="D345" s="66">
        <v>241601272844</v>
      </c>
      <c r="E345" s="158">
        <f t="shared" si="68"/>
        <v>116.82512</v>
      </c>
      <c r="F345" s="159">
        <f t="shared" si="69"/>
        <v>52.919460000000001</v>
      </c>
      <c r="G345" s="160">
        <f t="shared" si="70"/>
        <v>63.905660000000005</v>
      </c>
      <c r="H345" s="166">
        <v>15.426360000000001</v>
      </c>
      <c r="I345" s="165">
        <v>5.1421099999999997</v>
      </c>
      <c r="J345" s="160"/>
      <c r="K345" s="160"/>
      <c r="L345" s="166">
        <v>37.493099999999998</v>
      </c>
      <c r="M345" s="165">
        <v>58.763550000000002</v>
      </c>
      <c r="N345" s="165"/>
      <c r="O345" s="165"/>
      <c r="P345" s="160"/>
      <c r="Q345" s="166"/>
      <c r="R345" s="165"/>
      <c r="S345" s="165"/>
      <c r="T345" s="159"/>
      <c r="U345" s="160"/>
      <c r="V345" s="165"/>
      <c r="W345" s="165"/>
      <c r="X345" s="160"/>
      <c r="Y345" s="166"/>
      <c r="Z345" s="160"/>
      <c r="AA345" s="160"/>
      <c r="AB345" s="165"/>
      <c r="AC345" s="165"/>
      <c r="AD345" s="165"/>
      <c r="AE345" s="165"/>
      <c r="AF345" s="160"/>
      <c r="AG345" s="160"/>
      <c r="AH345" s="160"/>
      <c r="AI345" s="160"/>
      <c r="AJ345" s="161"/>
      <c r="AK345" s="162"/>
      <c r="AL345" s="165"/>
      <c r="AM345" s="166"/>
      <c r="AN345" s="165"/>
      <c r="AO345" s="160"/>
      <c r="AP345" s="162"/>
      <c r="AQ345" s="161"/>
      <c r="AR345" s="162"/>
      <c r="AS345" s="161"/>
      <c r="AT345" s="165"/>
      <c r="AU345" s="166"/>
      <c r="AV345" s="165"/>
      <c r="AW345" s="166"/>
      <c r="AX345" s="165"/>
      <c r="AY345" s="165"/>
      <c r="AZ345" s="165"/>
      <c r="BA345" s="165"/>
      <c r="BB345" s="166"/>
      <c r="BC345" s="165"/>
      <c r="BD345" s="165"/>
      <c r="BE345" s="165"/>
      <c r="BF345" s="165"/>
      <c r="BG345" s="165"/>
      <c r="BH345" s="165"/>
      <c r="BI345" s="165"/>
      <c r="BJ345" s="166"/>
      <c r="BK345" s="165"/>
      <c r="BL345" s="165"/>
      <c r="BM345" s="163"/>
      <c r="BN345" s="165"/>
      <c r="BO345" s="165"/>
      <c r="BP345" s="165"/>
      <c r="BQ345" s="167"/>
    </row>
    <row r="346" spans="1:69" ht="39.950000000000003" customHeight="1" outlineLevel="1" x14ac:dyDescent="0.3">
      <c r="A346" s="15" t="s">
        <v>426</v>
      </c>
      <c r="B346" s="12" t="s">
        <v>456</v>
      </c>
      <c r="C346" s="9" t="s">
        <v>30</v>
      </c>
      <c r="D346" s="66" t="s">
        <v>457</v>
      </c>
      <c r="E346" s="158">
        <f t="shared" si="68"/>
        <v>93.66143000000001</v>
      </c>
      <c r="F346" s="159">
        <f t="shared" si="69"/>
        <v>70.246080000000006</v>
      </c>
      <c r="G346" s="160">
        <f t="shared" si="70"/>
        <v>23.41535</v>
      </c>
      <c r="H346" s="166">
        <v>70.246080000000006</v>
      </c>
      <c r="I346" s="165">
        <v>23.41535</v>
      </c>
      <c r="J346" s="160"/>
      <c r="K346" s="160"/>
      <c r="L346" s="166"/>
      <c r="M346" s="165"/>
      <c r="N346" s="165"/>
      <c r="O346" s="165"/>
      <c r="P346" s="160"/>
      <c r="Q346" s="166"/>
      <c r="R346" s="165"/>
      <c r="S346" s="165"/>
      <c r="T346" s="159"/>
      <c r="U346" s="160"/>
      <c r="V346" s="165"/>
      <c r="W346" s="165"/>
      <c r="X346" s="160"/>
      <c r="Y346" s="166"/>
      <c r="Z346" s="160"/>
      <c r="AA346" s="160"/>
      <c r="AB346" s="165"/>
      <c r="AC346" s="165"/>
      <c r="AD346" s="165"/>
      <c r="AE346" s="165"/>
      <c r="AF346" s="160"/>
      <c r="AG346" s="160"/>
      <c r="AH346" s="160"/>
      <c r="AI346" s="160"/>
      <c r="AJ346" s="161"/>
      <c r="AK346" s="162"/>
      <c r="AL346" s="165"/>
      <c r="AM346" s="166"/>
      <c r="AN346" s="165"/>
      <c r="AO346" s="160"/>
      <c r="AP346" s="162"/>
      <c r="AQ346" s="161"/>
      <c r="AR346" s="162"/>
      <c r="AS346" s="161"/>
      <c r="AT346" s="165"/>
      <c r="AU346" s="166"/>
      <c r="AV346" s="165"/>
      <c r="AW346" s="166"/>
      <c r="AX346" s="165"/>
      <c r="AY346" s="165"/>
      <c r="AZ346" s="165"/>
      <c r="BA346" s="165"/>
      <c r="BB346" s="166"/>
      <c r="BC346" s="165"/>
      <c r="BD346" s="165"/>
      <c r="BE346" s="165"/>
      <c r="BF346" s="165"/>
      <c r="BG346" s="165"/>
      <c r="BH346" s="165"/>
      <c r="BI346" s="165"/>
      <c r="BJ346" s="166"/>
      <c r="BK346" s="165"/>
      <c r="BL346" s="165"/>
      <c r="BM346" s="163"/>
      <c r="BN346" s="165"/>
      <c r="BO346" s="165"/>
      <c r="BP346" s="165"/>
      <c r="BQ346" s="167"/>
    </row>
    <row r="347" spans="1:69" ht="39.950000000000003" customHeight="1" outlineLevel="1" x14ac:dyDescent="0.3">
      <c r="A347" s="15" t="s">
        <v>426</v>
      </c>
      <c r="B347" s="12" t="s">
        <v>1429</v>
      </c>
      <c r="C347" s="9" t="s">
        <v>30</v>
      </c>
      <c r="D347" s="66">
        <v>241600307011</v>
      </c>
      <c r="E347" s="158">
        <f t="shared" si="68"/>
        <v>392.89102000000003</v>
      </c>
      <c r="F347" s="159">
        <f t="shared" si="69"/>
        <v>153.03567000000001</v>
      </c>
      <c r="G347" s="160">
        <f t="shared" si="70"/>
        <v>239.85534999999999</v>
      </c>
      <c r="H347" s="166"/>
      <c r="I347" s="165"/>
      <c r="J347" s="160"/>
      <c r="K347" s="160"/>
      <c r="L347" s="166">
        <v>153.03567000000001</v>
      </c>
      <c r="M347" s="165">
        <v>239.85534999999999</v>
      </c>
      <c r="N347" s="165"/>
      <c r="O347" s="165"/>
      <c r="P347" s="160"/>
      <c r="Q347" s="166"/>
      <c r="R347" s="165"/>
      <c r="S347" s="165"/>
      <c r="T347" s="159"/>
      <c r="U347" s="160"/>
      <c r="V347" s="165"/>
      <c r="W347" s="165"/>
      <c r="X347" s="160"/>
      <c r="Y347" s="166"/>
      <c r="Z347" s="160"/>
      <c r="AA347" s="160"/>
      <c r="AB347" s="165"/>
      <c r="AC347" s="165"/>
      <c r="AD347" s="165"/>
      <c r="AE347" s="165"/>
      <c r="AF347" s="160"/>
      <c r="AG347" s="160"/>
      <c r="AH347" s="160"/>
      <c r="AI347" s="160"/>
      <c r="AJ347" s="161"/>
      <c r="AK347" s="162"/>
      <c r="AL347" s="165"/>
      <c r="AM347" s="166"/>
      <c r="AN347" s="165"/>
      <c r="AO347" s="160"/>
      <c r="AP347" s="162"/>
      <c r="AQ347" s="161"/>
      <c r="AR347" s="162"/>
      <c r="AS347" s="161"/>
      <c r="AT347" s="165"/>
      <c r="AU347" s="166"/>
      <c r="AV347" s="165"/>
      <c r="AW347" s="166"/>
      <c r="AX347" s="165"/>
      <c r="AY347" s="165"/>
      <c r="AZ347" s="165"/>
      <c r="BA347" s="165"/>
      <c r="BB347" s="166"/>
      <c r="BC347" s="165"/>
      <c r="BD347" s="165"/>
      <c r="BE347" s="165"/>
      <c r="BF347" s="165"/>
      <c r="BG347" s="165"/>
      <c r="BH347" s="165"/>
      <c r="BI347" s="165"/>
      <c r="BJ347" s="166"/>
      <c r="BK347" s="165"/>
      <c r="BL347" s="165"/>
      <c r="BM347" s="163"/>
      <c r="BN347" s="165"/>
      <c r="BO347" s="165"/>
      <c r="BP347" s="165"/>
      <c r="BQ347" s="167"/>
    </row>
    <row r="348" spans="1:69" ht="58.5" customHeight="1" outlineLevel="1" x14ac:dyDescent="0.3">
      <c r="A348" s="15" t="s">
        <v>426</v>
      </c>
      <c r="B348" s="12" t="s">
        <v>443</v>
      </c>
      <c r="C348" s="9" t="s">
        <v>30</v>
      </c>
      <c r="D348" s="66" t="s">
        <v>444</v>
      </c>
      <c r="E348" s="158">
        <f t="shared" si="68"/>
        <v>650.78607999999997</v>
      </c>
      <c r="F348" s="159">
        <f t="shared" si="69"/>
        <v>23.396439999999998</v>
      </c>
      <c r="G348" s="160">
        <f t="shared" si="70"/>
        <v>627.38963999999999</v>
      </c>
      <c r="H348" s="166"/>
      <c r="I348" s="165"/>
      <c r="J348" s="160"/>
      <c r="K348" s="160"/>
      <c r="L348" s="166">
        <v>23.396439999999998</v>
      </c>
      <c r="M348" s="165">
        <v>36.669640000000001</v>
      </c>
      <c r="N348" s="165"/>
      <c r="O348" s="165"/>
      <c r="P348" s="160"/>
      <c r="Q348" s="166"/>
      <c r="R348" s="165"/>
      <c r="S348" s="165"/>
      <c r="T348" s="159"/>
      <c r="U348" s="160"/>
      <c r="V348" s="165"/>
      <c r="W348" s="165">
        <v>590.72</v>
      </c>
      <c r="X348" s="160"/>
      <c r="Y348" s="166"/>
      <c r="Z348" s="160"/>
      <c r="AA348" s="160"/>
      <c r="AB348" s="165"/>
      <c r="AC348" s="165"/>
      <c r="AD348" s="165"/>
      <c r="AE348" s="165"/>
      <c r="AF348" s="160"/>
      <c r="AG348" s="160"/>
      <c r="AH348" s="160"/>
      <c r="AI348" s="160"/>
      <c r="AJ348" s="161"/>
      <c r="AK348" s="162"/>
      <c r="AL348" s="165"/>
      <c r="AM348" s="166"/>
      <c r="AN348" s="165"/>
      <c r="AO348" s="160"/>
      <c r="AP348" s="162"/>
      <c r="AQ348" s="161"/>
      <c r="AR348" s="162"/>
      <c r="AS348" s="161"/>
      <c r="AT348" s="165"/>
      <c r="AU348" s="166"/>
      <c r="AV348" s="165"/>
      <c r="AW348" s="166"/>
      <c r="AX348" s="165"/>
      <c r="AY348" s="165"/>
      <c r="AZ348" s="165"/>
      <c r="BA348" s="165"/>
      <c r="BB348" s="166"/>
      <c r="BC348" s="165"/>
      <c r="BD348" s="165"/>
      <c r="BE348" s="165"/>
      <c r="BF348" s="165"/>
      <c r="BG348" s="165"/>
      <c r="BH348" s="165"/>
      <c r="BI348" s="165"/>
      <c r="BJ348" s="166"/>
      <c r="BK348" s="165"/>
      <c r="BL348" s="165"/>
      <c r="BM348" s="163"/>
      <c r="BN348" s="165"/>
      <c r="BO348" s="165"/>
      <c r="BP348" s="165"/>
      <c r="BQ348" s="167"/>
    </row>
    <row r="349" spans="1:69" ht="60" customHeight="1" outlineLevel="1" x14ac:dyDescent="0.3">
      <c r="A349" s="15" t="s">
        <v>1274</v>
      </c>
      <c r="B349" s="12" t="s">
        <v>1135</v>
      </c>
      <c r="C349" s="9" t="s">
        <v>30</v>
      </c>
      <c r="D349" s="66" t="s">
        <v>1198</v>
      </c>
      <c r="E349" s="158">
        <f t="shared" si="68"/>
        <v>247.25200999999998</v>
      </c>
      <c r="F349" s="159">
        <f t="shared" si="69"/>
        <v>96.307559999999995</v>
      </c>
      <c r="G349" s="160">
        <f t="shared" si="70"/>
        <v>150.94444999999999</v>
      </c>
      <c r="H349" s="166"/>
      <c r="I349" s="165"/>
      <c r="J349" s="160"/>
      <c r="K349" s="160"/>
      <c r="L349" s="166">
        <f>6.53376+89.7738</f>
        <v>96.307559999999995</v>
      </c>
      <c r="M349" s="165">
        <f>10.24048+140.70397</f>
        <v>150.94444999999999</v>
      </c>
      <c r="N349" s="165"/>
      <c r="O349" s="165"/>
      <c r="P349" s="160"/>
      <c r="Q349" s="166"/>
      <c r="R349" s="165"/>
      <c r="S349" s="165"/>
      <c r="T349" s="159"/>
      <c r="U349" s="160"/>
      <c r="V349" s="165"/>
      <c r="W349" s="165"/>
      <c r="X349" s="160"/>
      <c r="Y349" s="166"/>
      <c r="Z349" s="160"/>
      <c r="AA349" s="160"/>
      <c r="AB349" s="165"/>
      <c r="AC349" s="165"/>
      <c r="AD349" s="165"/>
      <c r="AE349" s="165"/>
      <c r="AF349" s="160"/>
      <c r="AG349" s="160"/>
      <c r="AH349" s="160"/>
      <c r="AI349" s="160"/>
      <c r="AJ349" s="161"/>
      <c r="AK349" s="162"/>
      <c r="AL349" s="165"/>
      <c r="AM349" s="166"/>
      <c r="AN349" s="165"/>
      <c r="AO349" s="160"/>
      <c r="AP349" s="162"/>
      <c r="AQ349" s="161"/>
      <c r="AR349" s="162"/>
      <c r="AS349" s="161"/>
      <c r="AT349" s="165"/>
      <c r="AU349" s="166"/>
      <c r="AV349" s="165"/>
      <c r="AW349" s="166"/>
      <c r="AX349" s="165"/>
      <c r="AY349" s="165"/>
      <c r="AZ349" s="165"/>
      <c r="BA349" s="165"/>
      <c r="BB349" s="166"/>
      <c r="BC349" s="165"/>
      <c r="BD349" s="165"/>
      <c r="BE349" s="165"/>
      <c r="BF349" s="165"/>
      <c r="BG349" s="165"/>
      <c r="BH349" s="165"/>
      <c r="BI349" s="165"/>
      <c r="BJ349" s="166"/>
      <c r="BK349" s="165"/>
      <c r="BL349" s="165"/>
      <c r="BM349" s="163"/>
      <c r="BN349" s="165"/>
      <c r="BO349" s="165"/>
      <c r="BP349" s="165"/>
      <c r="BQ349" s="167"/>
    </row>
    <row r="350" spans="1:69" ht="39.950000000000003" customHeight="1" outlineLevel="1" x14ac:dyDescent="0.3">
      <c r="A350" s="15" t="s">
        <v>426</v>
      </c>
      <c r="B350" s="12" t="s">
        <v>445</v>
      </c>
      <c r="C350" s="9" t="s">
        <v>30</v>
      </c>
      <c r="D350" s="66" t="s">
        <v>446</v>
      </c>
      <c r="E350" s="158">
        <f t="shared" si="68"/>
        <v>106.32262</v>
      </c>
      <c r="F350" s="159">
        <f t="shared" si="69"/>
        <v>47.351689999999998</v>
      </c>
      <c r="G350" s="160">
        <f t="shared" si="70"/>
        <v>58.970929999999996</v>
      </c>
      <c r="H350" s="166">
        <v>12.353619999999999</v>
      </c>
      <c r="I350" s="165">
        <v>4.1178699999999999</v>
      </c>
      <c r="J350" s="160"/>
      <c r="K350" s="160"/>
      <c r="L350" s="166">
        <v>34.998069999999998</v>
      </c>
      <c r="M350" s="165">
        <v>54.853059999999999</v>
      </c>
      <c r="N350" s="165"/>
      <c r="O350" s="165"/>
      <c r="P350" s="160"/>
      <c r="Q350" s="166"/>
      <c r="R350" s="165"/>
      <c r="S350" s="165"/>
      <c r="T350" s="159"/>
      <c r="U350" s="160"/>
      <c r="V350" s="165"/>
      <c r="W350" s="165"/>
      <c r="X350" s="160"/>
      <c r="Y350" s="166"/>
      <c r="Z350" s="160"/>
      <c r="AA350" s="160"/>
      <c r="AB350" s="165"/>
      <c r="AC350" s="165"/>
      <c r="AD350" s="165"/>
      <c r="AE350" s="165"/>
      <c r="AF350" s="160"/>
      <c r="AG350" s="160"/>
      <c r="AH350" s="160"/>
      <c r="AI350" s="160"/>
      <c r="AJ350" s="161"/>
      <c r="AK350" s="162"/>
      <c r="AL350" s="165"/>
      <c r="AM350" s="166"/>
      <c r="AN350" s="165"/>
      <c r="AO350" s="160"/>
      <c r="AP350" s="162"/>
      <c r="AQ350" s="161"/>
      <c r="AR350" s="162"/>
      <c r="AS350" s="161"/>
      <c r="AT350" s="165"/>
      <c r="AU350" s="166"/>
      <c r="AV350" s="165"/>
      <c r="AW350" s="166"/>
      <c r="AX350" s="165"/>
      <c r="AY350" s="165"/>
      <c r="AZ350" s="165"/>
      <c r="BA350" s="165"/>
      <c r="BB350" s="166"/>
      <c r="BC350" s="165"/>
      <c r="BD350" s="165"/>
      <c r="BE350" s="165"/>
      <c r="BF350" s="165"/>
      <c r="BG350" s="165"/>
      <c r="BH350" s="165"/>
      <c r="BI350" s="165"/>
      <c r="BJ350" s="166"/>
      <c r="BK350" s="165"/>
      <c r="BL350" s="165"/>
      <c r="BM350" s="163"/>
      <c r="BN350" s="165"/>
      <c r="BO350" s="165"/>
      <c r="BP350" s="165"/>
      <c r="BQ350" s="167"/>
    </row>
    <row r="351" spans="1:69" ht="39.950000000000003" customHeight="1" outlineLevel="1" x14ac:dyDescent="0.3">
      <c r="A351" s="15" t="s">
        <v>426</v>
      </c>
      <c r="B351" s="12" t="s">
        <v>458</v>
      </c>
      <c r="C351" s="9" t="s">
        <v>30</v>
      </c>
      <c r="D351" s="66" t="s">
        <v>1194</v>
      </c>
      <c r="E351" s="158">
        <f t="shared" si="68"/>
        <v>866.25408000000004</v>
      </c>
      <c r="F351" s="159">
        <f t="shared" si="69"/>
        <v>124.33378999999999</v>
      </c>
      <c r="G351" s="160">
        <f t="shared" si="70"/>
        <v>741.92029000000002</v>
      </c>
      <c r="H351" s="166"/>
      <c r="I351" s="165"/>
      <c r="J351" s="160"/>
      <c r="K351" s="160"/>
      <c r="L351" s="166">
        <v>124.33378999999999</v>
      </c>
      <c r="M351" s="165">
        <v>194.87040999999999</v>
      </c>
      <c r="N351" s="165"/>
      <c r="O351" s="165"/>
      <c r="P351" s="160"/>
      <c r="Q351" s="166"/>
      <c r="R351" s="165"/>
      <c r="S351" s="165"/>
      <c r="T351" s="159"/>
      <c r="U351" s="160"/>
      <c r="V351" s="165"/>
      <c r="W351" s="165"/>
      <c r="X351" s="160"/>
      <c r="Y351" s="166"/>
      <c r="Z351" s="160"/>
      <c r="AA351" s="160"/>
      <c r="AB351" s="165"/>
      <c r="AC351" s="165"/>
      <c r="AD351" s="165"/>
      <c r="AE351" s="165"/>
      <c r="AF351" s="160"/>
      <c r="AG351" s="160"/>
      <c r="AH351" s="160"/>
      <c r="AI351" s="160"/>
      <c r="AJ351" s="161"/>
      <c r="AK351" s="162"/>
      <c r="AL351" s="165"/>
      <c r="AM351" s="166"/>
      <c r="AN351" s="165"/>
      <c r="AO351" s="160"/>
      <c r="AP351" s="162"/>
      <c r="AQ351" s="161"/>
      <c r="AR351" s="162"/>
      <c r="AS351" s="161"/>
      <c r="AT351" s="165"/>
      <c r="AU351" s="166"/>
      <c r="AV351" s="165"/>
      <c r="AW351" s="166"/>
      <c r="AX351" s="165"/>
      <c r="AY351" s="165"/>
      <c r="AZ351" s="165"/>
      <c r="BA351" s="165"/>
      <c r="BB351" s="166"/>
      <c r="BC351" s="165"/>
      <c r="BD351" s="165"/>
      <c r="BE351" s="165">
        <v>547.04988000000003</v>
      </c>
      <c r="BF351" s="165"/>
      <c r="BG351" s="165"/>
      <c r="BH351" s="165"/>
      <c r="BI351" s="165"/>
      <c r="BJ351" s="166"/>
      <c r="BK351" s="165"/>
      <c r="BL351" s="165"/>
      <c r="BM351" s="163"/>
      <c r="BN351" s="165"/>
      <c r="BO351" s="165"/>
      <c r="BP351" s="165"/>
      <c r="BQ351" s="167"/>
    </row>
    <row r="352" spans="1:69" ht="39.950000000000003" customHeight="1" outlineLevel="1" x14ac:dyDescent="0.3">
      <c r="A352" s="15" t="s">
        <v>426</v>
      </c>
      <c r="B352" s="12" t="s">
        <v>447</v>
      </c>
      <c r="C352" s="9" t="s">
        <v>30</v>
      </c>
      <c r="D352" s="66" t="s">
        <v>448</v>
      </c>
      <c r="E352" s="158">
        <f t="shared" si="68"/>
        <v>323.20850999999999</v>
      </c>
      <c r="F352" s="159">
        <f t="shared" si="69"/>
        <v>111.18048</v>
      </c>
      <c r="G352" s="160">
        <f t="shared" si="70"/>
        <v>212.02803</v>
      </c>
      <c r="H352" s="166"/>
      <c r="I352" s="165"/>
      <c r="J352" s="160"/>
      <c r="K352" s="160"/>
      <c r="L352" s="166">
        <v>111.18048</v>
      </c>
      <c r="M352" s="165">
        <v>174.25501</v>
      </c>
      <c r="N352" s="165"/>
      <c r="O352" s="165"/>
      <c r="P352" s="160"/>
      <c r="Q352" s="166"/>
      <c r="R352" s="165"/>
      <c r="S352" s="165"/>
      <c r="T352" s="159"/>
      <c r="U352" s="160"/>
      <c r="V352" s="165"/>
      <c r="W352" s="165"/>
      <c r="X352" s="160"/>
      <c r="Y352" s="166"/>
      <c r="Z352" s="160"/>
      <c r="AA352" s="160"/>
      <c r="AB352" s="165"/>
      <c r="AC352" s="165"/>
      <c r="AD352" s="165"/>
      <c r="AE352" s="165"/>
      <c r="AF352" s="160"/>
      <c r="AG352" s="160"/>
      <c r="AH352" s="160"/>
      <c r="AI352" s="160"/>
      <c r="AJ352" s="161"/>
      <c r="AK352" s="162"/>
      <c r="AL352" s="165"/>
      <c r="AM352" s="166"/>
      <c r="AN352" s="165"/>
      <c r="AO352" s="160"/>
      <c r="AP352" s="162"/>
      <c r="AQ352" s="161"/>
      <c r="AR352" s="162"/>
      <c r="AS352" s="161"/>
      <c r="AT352" s="165"/>
      <c r="AU352" s="166"/>
      <c r="AV352" s="165"/>
      <c r="AW352" s="166"/>
      <c r="AX352" s="165"/>
      <c r="AY352" s="165"/>
      <c r="AZ352" s="165"/>
      <c r="BA352" s="165"/>
      <c r="BB352" s="166"/>
      <c r="BC352" s="165"/>
      <c r="BD352" s="165"/>
      <c r="BE352" s="165">
        <v>37.773020000000002</v>
      </c>
      <c r="BF352" s="165"/>
      <c r="BG352" s="165"/>
      <c r="BH352" s="165"/>
      <c r="BI352" s="165"/>
      <c r="BJ352" s="166"/>
      <c r="BK352" s="165"/>
      <c r="BL352" s="165"/>
      <c r="BM352" s="163"/>
      <c r="BN352" s="165"/>
      <c r="BO352" s="165"/>
      <c r="BP352" s="165"/>
      <c r="BQ352" s="167"/>
    </row>
    <row r="353" spans="1:270" ht="39.950000000000003" customHeight="1" outlineLevel="1" x14ac:dyDescent="0.3">
      <c r="A353" s="15" t="s">
        <v>426</v>
      </c>
      <c r="B353" s="12" t="s">
        <v>1308</v>
      </c>
      <c r="C353" s="9" t="s">
        <v>30</v>
      </c>
      <c r="D353" s="66">
        <v>246105068569</v>
      </c>
      <c r="E353" s="158">
        <f t="shared" si="68"/>
        <v>1525.7296999999999</v>
      </c>
      <c r="F353" s="159">
        <f t="shared" si="69"/>
        <v>340.23455999999999</v>
      </c>
      <c r="G353" s="160">
        <f t="shared" si="70"/>
        <v>1185.49514</v>
      </c>
      <c r="H353" s="166"/>
      <c r="I353" s="170"/>
      <c r="J353" s="160"/>
      <c r="K353" s="160"/>
      <c r="L353" s="166"/>
      <c r="M353" s="165"/>
      <c r="N353" s="165"/>
      <c r="O353" s="165"/>
      <c r="P353" s="160"/>
      <c r="Q353" s="166"/>
      <c r="R353" s="165"/>
      <c r="S353" s="165"/>
      <c r="T353" s="159"/>
      <c r="U353" s="160"/>
      <c r="V353" s="165"/>
      <c r="W353" s="165"/>
      <c r="X353" s="160"/>
      <c r="Y353" s="166">
        <v>340.23455999999999</v>
      </c>
      <c r="Z353" s="160">
        <v>113.41152</v>
      </c>
      <c r="AA353" s="160">
        <v>1072.0836200000001</v>
      </c>
      <c r="AB353" s="165"/>
      <c r="AC353" s="165"/>
      <c r="AD353" s="165"/>
      <c r="AE353" s="165"/>
      <c r="AF353" s="160"/>
      <c r="AG353" s="160"/>
      <c r="AH353" s="160"/>
      <c r="AI353" s="160"/>
      <c r="AJ353" s="161"/>
      <c r="AK353" s="162"/>
      <c r="AL353" s="165"/>
      <c r="AM353" s="166"/>
      <c r="AN353" s="165"/>
      <c r="AO353" s="160"/>
      <c r="AP353" s="162"/>
      <c r="AQ353" s="161"/>
      <c r="AR353" s="162"/>
      <c r="AS353" s="161"/>
      <c r="AT353" s="165"/>
      <c r="AU353" s="166"/>
      <c r="AV353" s="165"/>
      <c r="AW353" s="166"/>
      <c r="AX353" s="165"/>
      <c r="AY353" s="165"/>
      <c r="AZ353" s="165"/>
      <c r="BA353" s="165"/>
      <c r="BB353" s="166"/>
      <c r="BC353" s="165"/>
      <c r="BD353" s="165"/>
      <c r="BE353" s="165"/>
      <c r="BF353" s="165"/>
      <c r="BG353" s="165"/>
      <c r="BH353" s="165"/>
      <c r="BI353" s="165"/>
      <c r="BJ353" s="166"/>
      <c r="BK353" s="165"/>
      <c r="BL353" s="165"/>
      <c r="BM353" s="163"/>
      <c r="BN353" s="165"/>
      <c r="BO353" s="165"/>
      <c r="BP353" s="165"/>
      <c r="BQ353" s="167"/>
    </row>
    <row r="354" spans="1:270" ht="39.950000000000003" customHeight="1" outlineLevel="1" x14ac:dyDescent="0.3">
      <c r="A354" s="15" t="s">
        <v>426</v>
      </c>
      <c r="B354" s="12" t="s">
        <v>454</v>
      </c>
      <c r="C354" s="9" t="s">
        <v>30</v>
      </c>
      <c r="D354" s="66" t="s">
        <v>455</v>
      </c>
      <c r="E354" s="158">
        <f t="shared" si="68"/>
        <v>59.583559999999999</v>
      </c>
      <c r="F354" s="159">
        <f t="shared" si="69"/>
        <v>23.208500000000001</v>
      </c>
      <c r="G354" s="160">
        <f t="shared" si="70"/>
        <v>36.375059999999998</v>
      </c>
      <c r="H354" s="166"/>
      <c r="I354" s="165"/>
      <c r="J354" s="160"/>
      <c r="K354" s="160"/>
      <c r="L354" s="166">
        <v>23.208500000000001</v>
      </c>
      <c r="M354" s="165">
        <v>36.375059999999998</v>
      </c>
      <c r="N354" s="165"/>
      <c r="O354" s="165"/>
      <c r="P354" s="160"/>
      <c r="Q354" s="166"/>
      <c r="R354" s="165"/>
      <c r="S354" s="165"/>
      <c r="T354" s="159"/>
      <c r="U354" s="160"/>
      <c r="V354" s="165"/>
      <c r="W354" s="165"/>
      <c r="X354" s="160"/>
      <c r="Y354" s="166"/>
      <c r="Z354" s="160"/>
      <c r="AA354" s="160"/>
      <c r="AB354" s="165"/>
      <c r="AC354" s="165"/>
      <c r="AD354" s="165"/>
      <c r="AE354" s="165"/>
      <c r="AF354" s="160"/>
      <c r="AG354" s="160"/>
      <c r="AH354" s="160"/>
      <c r="AI354" s="160"/>
      <c r="AJ354" s="161"/>
      <c r="AK354" s="162"/>
      <c r="AL354" s="165"/>
      <c r="AM354" s="166"/>
      <c r="AN354" s="165"/>
      <c r="AO354" s="160"/>
      <c r="AP354" s="162"/>
      <c r="AQ354" s="161"/>
      <c r="AR354" s="162"/>
      <c r="AS354" s="161"/>
      <c r="AT354" s="165"/>
      <c r="AU354" s="166"/>
      <c r="AV354" s="165"/>
      <c r="AW354" s="166"/>
      <c r="AX354" s="165"/>
      <c r="AY354" s="165"/>
      <c r="AZ354" s="165"/>
      <c r="BA354" s="165"/>
      <c r="BB354" s="166"/>
      <c r="BC354" s="165"/>
      <c r="BD354" s="165"/>
      <c r="BE354" s="165"/>
      <c r="BF354" s="165"/>
      <c r="BG354" s="165"/>
      <c r="BH354" s="165"/>
      <c r="BI354" s="165"/>
      <c r="BJ354" s="166"/>
      <c r="BK354" s="165"/>
      <c r="BL354" s="165"/>
      <c r="BM354" s="163"/>
      <c r="BN354" s="165"/>
      <c r="BO354" s="165"/>
      <c r="BP354" s="165"/>
      <c r="BQ354" s="167"/>
    </row>
    <row r="355" spans="1:270" ht="39.950000000000003" customHeight="1" outlineLevel="1" x14ac:dyDescent="0.3">
      <c r="A355" s="15" t="s">
        <v>426</v>
      </c>
      <c r="B355" s="12" t="s">
        <v>1314</v>
      </c>
      <c r="C355" s="9" t="s">
        <v>30</v>
      </c>
      <c r="D355" s="66">
        <v>241600407633</v>
      </c>
      <c r="E355" s="158">
        <f t="shared" si="68"/>
        <v>289.05386999999996</v>
      </c>
      <c r="F355" s="159">
        <f t="shared" si="69"/>
        <v>176.58593999999999</v>
      </c>
      <c r="G355" s="160">
        <f t="shared" si="70"/>
        <v>112.46793</v>
      </c>
      <c r="H355" s="166">
        <v>133.14455000000001</v>
      </c>
      <c r="I355" s="165">
        <v>44.381529999999998</v>
      </c>
      <c r="J355" s="160"/>
      <c r="K355" s="160"/>
      <c r="L355" s="166">
        <v>43.441389999999998</v>
      </c>
      <c r="M355" s="165">
        <v>68.086399999999998</v>
      </c>
      <c r="N355" s="165"/>
      <c r="O355" s="165"/>
      <c r="P355" s="160"/>
      <c r="Q355" s="166"/>
      <c r="R355" s="165"/>
      <c r="S355" s="165"/>
      <c r="T355" s="159"/>
      <c r="U355" s="160"/>
      <c r="V355" s="165"/>
      <c r="W355" s="165"/>
      <c r="X355" s="160"/>
      <c r="Y355" s="166"/>
      <c r="Z355" s="160"/>
      <c r="AA355" s="160"/>
      <c r="AB355" s="165"/>
      <c r="AC355" s="165"/>
      <c r="AD355" s="165"/>
      <c r="AE355" s="165"/>
      <c r="AF355" s="160"/>
      <c r="AG355" s="160"/>
      <c r="AH355" s="160"/>
      <c r="AI355" s="160"/>
      <c r="AJ355" s="161"/>
      <c r="AK355" s="162"/>
      <c r="AL355" s="165"/>
      <c r="AM355" s="166"/>
      <c r="AN355" s="165"/>
      <c r="AO355" s="160"/>
      <c r="AP355" s="162"/>
      <c r="AQ355" s="161"/>
      <c r="AR355" s="162"/>
      <c r="AS355" s="161"/>
      <c r="AT355" s="165"/>
      <c r="AU355" s="166"/>
      <c r="AV355" s="165"/>
      <c r="AW355" s="166"/>
      <c r="AX355" s="165"/>
      <c r="AY355" s="165"/>
      <c r="AZ355" s="165"/>
      <c r="BA355" s="165"/>
      <c r="BB355" s="166"/>
      <c r="BC355" s="165"/>
      <c r="BD355" s="165"/>
      <c r="BE355" s="165"/>
      <c r="BF355" s="165"/>
      <c r="BG355" s="165"/>
      <c r="BH355" s="165"/>
      <c r="BI355" s="165"/>
      <c r="BJ355" s="166"/>
      <c r="BK355" s="165"/>
      <c r="BL355" s="165"/>
      <c r="BM355" s="163"/>
      <c r="BN355" s="165"/>
      <c r="BO355" s="165"/>
      <c r="BP355" s="165"/>
      <c r="BQ355" s="167"/>
    </row>
    <row r="356" spans="1:270" ht="39.950000000000003" customHeight="1" outlineLevel="1" x14ac:dyDescent="0.3">
      <c r="A356" s="15" t="s">
        <v>426</v>
      </c>
      <c r="B356" s="12" t="s">
        <v>451</v>
      </c>
      <c r="C356" s="25" t="s">
        <v>30</v>
      </c>
      <c r="D356" s="66" t="s">
        <v>452</v>
      </c>
      <c r="E356" s="158">
        <f t="shared" si="68"/>
        <v>121.92843999999999</v>
      </c>
      <c r="F356" s="159">
        <f t="shared" si="69"/>
        <v>47.492559999999997</v>
      </c>
      <c r="G356" s="160">
        <f t="shared" si="70"/>
        <v>74.435879999999997</v>
      </c>
      <c r="H356" s="166"/>
      <c r="I356" s="165"/>
      <c r="J356" s="160"/>
      <c r="K356" s="160"/>
      <c r="L356" s="166">
        <v>47.492559999999997</v>
      </c>
      <c r="M356" s="165">
        <v>74.435879999999997</v>
      </c>
      <c r="N356" s="165"/>
      <c r="O356" s="165"/>
      <c r="P356" s="160"/>
      <c r="Q356" s="166"/>
      <c r="R356" s="165"/>
      <c r="S356" s="165"/>
      <c r="T356" s="159"/>
      <c r="U356" s="160"/>
      <c r="V356" s="165"/>
      <c r="W356" s="165"/>
      <c r="X356" s="160"/>
      <c r="Y356" s="166"/>
      <c r="Z356" s="160"/>
      <c r="AA356" s="160"/>
      <c r="AB356" s="165"/>
      <c r="AC356" s="165"/>
      <c r="AD356" s="165"/>
      <c r="AE356" s="165"/>
      <c r="AF356" s="160"/>
      <c r="AG356" s="160"/>
      <c r="AH356" s="160"/>
      <c r="AI356" s="160"/>
      <c r="AJ356" s="161"/>
      <c r="AK356" s="162"/>
      <c r="AL356" s="165"/>
      <c r="AM356" s="166"/>
      <c r="AN356" s="165"/>
      <c r="AO356" s="160"/>
      <c r="AP356" s="162"/>
      <c r="AQ356" s="161"/>
      <c r="AR356" s="162"/>
      <c r="AS356" s="161"/>
      <c r="AT356" s="165"/>
      <c r="AU356" s="166"/>
      <c r="AV356" s="165"/>
      <c r="AW356" s="166"/>
      <c r="AX356" s="165"/>
      <c r="AY356" s="165"/>
      <c r="AZ356" s="165"/>
      <c r="BA356" s="165"/>
      <c r="BB356" s="166"/>
      <c r="BC356" s="165"/>
      <c r="BD356" s="165"/>
      <c r="BE356" s="165"/>
      <c r="BF356" s="165"/>
      <c r="BG356" s="165"/>
      <c r="BH356" s="165"/>
      <c r="BI356" s="165"/>
      <c r="BJ356" s="166"/>
      <c r="BK356" s="165"/>
      <c r="BL356" s="165"/>
      <c r="BM356" s="163"/>
      <c r="BN356" s="165"/>
      <c r="BO356" s="165"/>
      <c r="BP356" s="165"/>
      <c r="BQ356" s="167"/>
    </row>
    <row r="357" spans="1:270" ht="39.950000000000003" customHeight="1" outlineLevel="1" x14ac:dyDescent="0.3">
      <c r="A357" s="15" t="s">
        <v>426</v>
      </c>
      <c r="B357" s="12" t="s">
        <v>461</v>
      </c>
      <c r="C357" s="9" t="s">
        <v>30</v>
      </c>
      <c r="D357" s="66" t="s">
        <v>462</v>
      </c>
      <c r="E357" s="158">
        <f t="shared" si="68"/>
        <v>79.488230000000001</v>
      </c>
      <c r="F357" s="159">
        <f t="shared" si="69"/>
        <v>30.961600000000001</v>
      </c>
      <c r="G357" s="160">
        <f t="shared" si="70"/>
        <v>48.526629999999997</v>
      </c>
      <c r="H357" s="166"/>
      <c r="I357" s="165"/>
      <c r="J357" s="160"/>
      <c r="K357" s="160"/>
      <c r="L357" s="166">
        <v>30.961600000000001</v>
      </c>
      <c r="M357" s="165">
        <v>48.526629999999997</v>
      </c>
      <c r="N357" s="165"/>
      <c r="O357" s="165"/>
      <c r="P357" s="160"/>
      <c r="Q357" s="166"/>
      <c r="R357" s="165"/>
      <c r="S357" s="165"/>
      <c r="T357" s="159"/>
      <c r="U357" s="160"/>
      <c r="V357" s="165"/>
      <c r="W357" s="165"/>
      <c r="X357" s="160"/>
      <c r="Y357" s="166"/>
      <c r="Z357" s="160"/>
      <c r="AA357" s="160"/>
      <c r="AB357" s="165"/>
      <c r="AC357" s="165"/>
      <c r="AD357" s="165"/>
      <c r="AE357" s="165"/>
      <c r="AF357" s="160"/>
      <c r="AG357" s="160"/>
      <c r="AH357" s="160"/>
      <c r="AI357" s="160"/>
      <c r="AJ357" s="161"/>
      <c r="AK357" s="162"/>
      <c r="AL357" s="165"/>
      <c r="AM357" s="166"/>
      <c r="AN357" s="165"/>
      <c r="AO357" s="160"/>
      <c r="AP357" s="162"/>
      <c r="AQ357" s="161"/>
      <c r="AR357" s="162"/>
      <c r="AS357" s="161"/>
      <c r="AT357" s="165"/>
      <c r="AU357" s="166"/>
      <c r="AV357" s="165"/>
      <c r="AW357" s="166"/>
      <c r="AX357" s="165"/>
      <c r="AY357" s="165"/>
      <c r="AZ357" s="165"/>
      <c r="BA357" s="165"/>
      <c r="BB357" s="166"/>
      <c r="BC357" s="165"/>
      <c r="BD357" s="165"/>
      <c r="BE357" s="165"/>
      <c r="BF357" s="165"/>
      <c r="BG357" s="165"/>
      <c r="BH357" s="165"/>
      <c r="BI357" s="165"/>
      <c r="BJ357" s="166"/>
      <c r="BK357" s="165"/>
      <c r="BL357" s="165"/>
      <c r="BM357" s="163"/>
      <c r="BN357" s="165"/>
      <c r="BO357" s="165"/>
      <c r="BP357" s="165"/>
      <c r="BQ357" s="167"/>
    </row>
    <row r="358" spans="1:270" ht="39.950000000000003" customHeight="1" outlineLevel="1" x14ac:dyDescent="0.3">
      <c r="A358" s="15" t="s">
        <v>426</v>
      </c>
      <c r="B358" s="12" t="s">
        <v>463</v>
      </c>
      <c r="C358" s="9" t="s">
        <v>30</v>
      </c>
      <c r="D358" s="66" t="s">
        <v>464</v>
      </c>
      <c r="E358" s="158">
        <f t="shared" si="68"/>
        <v>82.600999999999999</v>
      </c>
      <c r="F358" s="159">
        <f t="shared" si="69"/>
        <v>0</v>
      </c>
      <c r="G358" s="160">
        <f t="shared" si="70"/>
        <v>82.600999999999999</v>
      </c>
      <c r="H358" s="166"/>
      <c r="I358" s="165"/>
      <c r="J358" s="160"/>
      <c r="K358" s="160"/>
      <c r="L358" s="166"/>
      <c r="M358" s="165"/>
      <c r="N358" s="165"/>
      <c r="O358" s="165"/>
      <c r="P358" s="160"/>
      <c r="Q358" s="166"/>
      <c r="R358" s="165"/>
      <c r="S358" s="165"/>
      <c r="T358" s="159"/>
      <c r="U358" s="160"/>
      <c r="V358" s="165"/>
      <c r="W358" s="165"/>
      <c r="X358" s="160"/>
      <c r="Y358" s="166"/>
      <c r="Z358" s="160"/>
      <c r="AA358" s="160"/>
      <c r="AB358" s="165"/>
      <c r="AC358" s="165"/>
      <c r="AD358" s="165"/>
      <c r="AE358" s="165"/>
      <c r="AF358" s="160"/>
      <c r="AG358" s="160"/>
      <c r="AH358" s="160"/>
      <c r="AI358" s="160"/>
      <c r="AJ358" s="161"/>
      <c r="AK358" s="162"/>
      <c r="AL358" s="165"/>
      <c r="AM358" s="166"/>
      <c r="AN358" s="165"/>
      <c r="AO358" s="160"/>
      <c r="AP358" s="162"/>
      <c r="AQ358" s="161"/>
      <c r="AR358" s="162"/>
      <c r="AS358" s="161"/>
      <c r="AT358" s="165"/>
      <c r="AU358" s="166"/>
      <c r="AV358" s="165"/>
      <c r="AW358" s="166"/>
      <c r="AX358" s="165"/>
      <c r="AY358" s="165"/>
      <c r="AZ358" s="165"/>
      <c r="BA358" s="165"/>
      <c r="BB358" s="166"/>
      <c r="BC358" s="165"/>
      <c r="BD358" s="165"/>
      <c r="BE358" s="165"/>
      <c r="BF358" s="165"/>
      <c r="BG358" s="165">
        <v>82.600999999999999</v>
      </c>
      <c r="BH358" s="165"/>
      <c r="BI358" s="165"/>
      <c r="BJ358" s="166"/>
      <c r="BK358" s="165"/>
      <c r="BL358" s="165"/>
      <c r="BM358" s="163"/>
      <c r="BN358" s="165"/>
      <c r="BO358" s="165"/>
      <c r="BP358" s="165"/>
      <c r="BQ358" s="167"/>
    </row>
    <row r="359" spans="1:270" ht="39.950000000000003" customHeight="1" outlineLevel="1" x14ac:dyDescent="0.3">
      <c r="A359" s="15" t="s">
        <v>426</v>
      </c>
      <c r="B359" s="12" t="s">
        <v>467</v>
      </c>
      <c r="C359" s="9" t="s">
        <v>30</v>
      </c>
      <c r="D359" s="66" t="s">
        <v>468</v>
      </c>
      <c r="E359" s="158">
        <f t="shared" si="68"/>
        <v>4904.1993899999998</v>
      </c>
      <c r="F359" s="159">
        <f t="shared" si="69"/>
        <v>2299.0880099999999</v>
      </c>
      <c r="G359" s="160">
        <f t="shared" si="70"/>
        <v>2605.1113799999998</v>
      </c>
      <c r="H359" s="166">
        <v>1947.86025</v>
      </c>
      <c r="I359" s="165">
        <v>649.28674999999998</v>
      </c>
      <c r="J359" s="160"/>
      <c r="K359" s="160"/>
      <c r="L359" s="166">
        <v>351.22775999999999</v>
      </c>
      <c r="M359" s="165">
        <v>550.48509999999999</v>
      </c>
      <c r="N359" s="165"/>
      <c r="O359" s="165"/>
      <c r="P359" s="160"/>
      <c r="Q359" s="166"/>
      <c r="R359" s="165"/>
      <c r="S359" s="165"/>
      <c r="T359" s="159"/>
      <c r="U359" s="160"/>
      <c r="V359" s="165"/>
      <c r="W359" s="165"/>
      <c r="X359" s="160"/>
      <c r="Y359" s="166"/>
      <c r="Z359" s="160"/>
      <c r="AA359" s="160">
        <v>285.90696000000003</v>
      </c>
      <c r="AB359" s="165"/>
      <c r="AC359" s="165"/>
      <c r="AD359" s="165"/>
      <c r="AE359" s="165"/>
      <c r="AF359" s="160"/>
      <c r="AG359" s="160"/>
      <c r="AH359" s="160"/>
      <c r="AI359" s="160"/>
      <c r="AJ359" s="161"/>
      <c r="AK359" s="162"/>
      <c r="AL359" s="165"/>
      <c r="AM359" s="166"/>
      <c r="AN359" s="165"/>
      <c r="AO359" s="160"/>
      <c r="AP359" s="162"/>
      <c r="AQ359" s="161"/>
      <c r="AR359" s="162"/>
      <c r="AS359" s="161"/>
      <c r="AT359" s="165"/>
      <c r="AU359" s="166"/>
      <c r="AV359" s="165"/>
      <c r="AW359" s="166"/>
      <c r="AX359" s="165"/>
      <c r="AY359" s="165"/>
      <c r="AZ359" s="165"/>
      <c r="BA359" s="165"/>
      <c r="BB359" s="166"/>
      <c r="BC359" s="165"/>
      <c r="BD359" s="165"/>
      <c r="BE359" s="165">
        <v>918.36356999999998</v>
      </c>
      <c r="BF359" s="165">
        <v>201.06899999999999</v>
      </c>
      <c r="BG359" s="165"/>
      <c r="BH359" s="165"/>
      <c r="BI359" s="165"/>
      <c r="BJ359" s="166"/>
      <c r="BK359" s="165"/>
      <c r="BL359" s="165"/>
      <c r="BM359" s="163"/>
      <c r="BN359" s="165"/>
      <c r="BO359" s="165"/>
      <c r="BP359" s="165"/>
      <c r="BQ359" s="167"/>
    </row>
    <row r="360" spans="1:270" ht="39.950000000000003" customHeight="1" outlineLevel="1" x14ac:dyDescent="0.3">
      <c r="A360" s="15" t="s">
        <v>426</v>
      </c>
      <c r="B360" s="12" t="s">
        <v>465</v>
      </c>
      <c r="C360" s="9" t="s">
        <v>30</v>
      </c>
      <c r="D360" s="66" t="s">
        <v>466</v>
      </c>
      <c r="E360" s="158">
        <f t="shared" si="68"/>
        <v>90.515460000000004</v>
      </c>
      <c r="F360" s="159">
        <f t="shared" si="69"/>
        <v>44.136740000000003</v>
      </c>
      <c r="G360" s="160">
        <f t="shared" si="70"/>
        <v>46.378720000000001</v>
      </c>
      <c r="H360" s="166">
        <v>18.47475</v>
      </c>
      <c r="I360" s="165">
        <v>6.1582499999999998</v>
      </c>
      <c r="J360" s="160"/>
      <c r="K360" s="160"/>
      <c r="L360" s="166">
        <v>25.661989999999999</v>
      </c>
      <c r="M360" s="165">
        <v>40.220469999999999</v>
      </c>
      <c r="N360" s="165"/>
      <c r="O360" s="165"/>
      <c r="P360" s="160"/>
      <c r="Q360" s="166"/>
      <c r="R360" s="165"/>
      <c r="S360" s="165"/>
      <c r="T360" s="159"/>
      <c r="U360" s="160"/>
      <c r="V360" s="165"/>
      <c r="W360" s="165"/>
      <c r="X360" s="160"/>
      <c r="Y360" s="166"/>
      <c r="Z360" s="160"/>
      <c r="AA360" s="160"/>
      <c r="AB360" s="165"/>
      <c r="AC360" s="165"/>
      <c r="AD360" s="165"/>
      <c r="AE360" s="165"/>
      <c r="AF360" s="160"/>
      <c r="AG360" s="160"/>
      <c r="AH360" s="160"/>
      <c r="AI360" s="160"/>
      <c r="AJ360" s="161"/>
      <c r="AK360" s="162"/>
      <c r="AL360" s="165"/>
      <c r="AM360" s="166"/>
      <c r="AN360" s="165"/>
      <c r="AO360" s="160"/>
      <c r="AP360" s="162"/>
      <c r="AQ360" s="161"/>
      <c r="AR360" s="162"/>
      <c r="AS360" s="161"/>
      <c r="AT360" s="165"/>
      <c r="AU360" s="166"/>
      <c r="AV360" s="165"/>
      <c r="AW360" s="166"/>
      <c r="AX360" s="165"/>
      <c r="AY360" s="165"/>
      <c r="AZ360" s="165"/>
      <c r="BA360" s="165"/>
      <c r="BB360" s="166"/>
      <c r="BC360" s="165"/>
      <c r="BD360" s="165"/>
      <c r="BE360" s="165"/>
      <c r="BF360" s="165"/>
      <c r="BG360" s="165"/>
      <c r="BH360" s="165"/>
      <c r="BI360" s="165"/>
      <c r="BJ360" s="166"/>
      <c r="BK360" s="165"/>
      <c r="BL360" s="165"/>
      <c r="BM360" s="163"/>
      <c r="BN360" s="165"/>
      <c r="BO360" s="165"/>
      <c r="BP360" s="165"/>
      <c r="BQ360" s="167"/>
    </row>
    <row r="361" spans="1:270" ht="39.950000000000003" customHeight="1" outlineLevel="1" x14ac:dyDescent="0.3">
      <c r="A361" s="15" t="s">
        <v>426</v>
      </c>
      <c r="B361" s="12" t="s">
        <v>469</v>
      </c>
      <c r="C361" s="9" t="s">
        <v>30</v>
      </c>
      <c r="D361" s="66" t="s">
        <v>470</v>
      </c>
      <c r="E361" s="158">
        <f t="shared" si="68"/>
        <v>248.51301000000001</v>
      </c>
      <c r="F361" s="159">
        <f t="shared" si="69"/>
        <v>96.798739999999995</v>
      </c>
      <c r="G361" s="160">
        <f t="shared" si="70"/>
        <v>151.71427</v>
      </c>
      <c r="H361" s="166"/>
      <c r="I361" s="165"/>
      <c r="J361" s="160"/>
      <c r="K361" s="160"/>
      <c r="L361" s="166">
        <v>96.798739999999995</v>
      </c>
      <c r="M361" s="165">
        <v>151.71427</v>
      </c>
      <c r="N361" s="165"/>
      <c r="O361" s="165"/>
      <c r="P361" s="160"/>
      <c r="Q361" s="166"/>
      <c r="R361" s="165"/>
      <c r="S361" s="165"/>
      <c r="T361" s="159"/>
      <c r="U361" s="160"/>
      <c r="V361" s="165"/>
      <c r="W361" s="165"/>
      <c r="X361" s="160"/>
      <c r="Y361" s="166"/>
      <c r="Z361" s="160"/>
      <c r="AA361" s="160"/>
      <c r="AB361" s="165"/>
      <c r="AC361" s="165"/>
      <c r="AD361" s="165"/>
      <c r="AE361" s="165"/>
      <c r="AF361" s="160"/>
      <c r="AG361" s="160"/>
      <c r="AH361" s="160"/>
      <c r="AI361" s="160"/>
      <c r="AJ361" s="161"/>
      <c r="AK361" s="162"/>
      <c r="AL361" s="165"/>
      <c r="AM361" s="166"/>
      <c r="AN361" s="165"/>
      <c r="AO361" s="160"/>
      <c r="AP361" s="162"/>
      <c r="AQ361" s="161"/>
      <c r="AR361" s="162"/>
      <c r="AS361" s="161"/>
      <c r="AT361" s="165"/>
      <c r="AU361" s="166"/>
      <c r="AV361" s="165"/>
      <c r="AW361" s="166"/>
      <c r="AX361" s="165"/>
      <c r="AY361" s="165"/>
      <c r="AZ361" s="165"/>
      <c r="BA361" s="165"/>
      <c r="BB361" s="166"/>
      <c r="BC361" s="165"/>
      <c r="BD361" s="165"/>
      <c r="BE361" s="165"/>
      <c r="BF361" s="165"/>
      <c r="BG361" s="165"/>
      <c r="BH361" s="165"/>
      <c r="BI361" s="165"/>
      <c r="BJ361" s="166"/>
      <c r="BK361" s="165"/>
      <c r="BL361" s="165"/>
      <c r="BM361" s="163"/>
      <c r="BN361" s="165"/>
      <c r="BO361" s="165"/>
      <c r="BP361" s="165"/>
      <c r="BQ361" s="167"/>
    </row>
    <row r="362" spans="1:270" ht="39.950000000000003" customHeight="1" outlineLevel="1" x14ac:dyDescent="0.3">
      <c r="A362" s="15" t="s">
        <v>426</v>
      </c>
      <c r="B362" s="12" t="s">
        <v>471</v>
      </c>
      <c r="C362" s="9" t="s">
        <v>30</v>
      </c>
      <c r="D362" s="66" t="s">
        <v>472</v>
      </c>
      <c r="E362" s="158">
        <f t="shared" si="68"/>
        <v>3146.09971</v>
      </c>
      <c r="F362" s="159">
        <f t="shared" si="69"/>
        <v>56.907559999999997</v>
      </c>
      <c r="G362" s="160">
        <f t="shared" si="70"/>
        <v>3089.1921499999999</v>
      </c>
      <c r="H362" s="166"/>
      <c r="I362" s="165"/>
      <c r="J362" s="160"/>
      <c r="K362" s="160"/>
      <c r="L362" s="166">
        <v>56.907559999999997</v>
      </c>
      <c r="M362" s="165">
        <v>89.192149999999998</v>
      </c>
      <c r="N362" s="165"/>
      <c r="O362" s="165"/>
      <c r="P362" s="160"/>
      <c r="Q362" s="166"/>
      <c r="R362" s="165"/>
      <c r="S362" s="165"/>
      <c r="T362" s="159"/>
      <c r="U362" s="160"/>
      <c r="V362" s="165"/>
      <c r="W362" s="165"/>
      <c r="X362" s="160"/>
      <c r="Y362" s="166"/>
      <c r="Z362" s="160"/>
      <c r="AA362" s="160"/>
      <c r="AB362" s="165"/>
      <c r="AC362" s="165"/>
      <c r="AD362" s="165"/>
      <c r="AE362" s="165"/>
      <c r="AF362" s="160"/>
      <c r="AG362" s="160"/>
      <c r="AH362" s="160"/>
      <c r="AI362" s="160"/>
      <c r="AJ362" s="161"/>
      <c r="AK362" s="162"/>
      <c r="AL362" s="165"/>
      <c r="AM362" s="166"/>
      <c r="AN362" s="165"/>
      <c r="AO362" s="160"/>
      <c r="AP362" s="162"/>
      <c r="AQ362" s="161"/>
      <c r="AR362" s="162"/>
      <c r="AS362" s="161"/>
      <c r="AT362" s="165"/>
      <c r="AU362" s="166"/>
      <c r="AV362" s="165"/>
      <c r="AW362" s="166"/>
      <c r="AX362" s="165"/>
      <c r="AY362" s="165"/>
      <c r="AZ362" s="165"/>
      <c r="BA362" s="165"/>
      <c r="BB362" s="166"/>
      <c r="BC362" s="165"/>
      <c r="BD362" s="165"/>
      <c r="BE362" s="165"/>
      <c r="BF362" s="165"/>
      <c r="BG362" s="165"/>
      <c r="BH362" s="165">
        <v>3000</v>
      </c>
      <c r="BI362" s="165"/>
      <c r="BJ362" s="166"/>
      <c r="BK362" s="165"/>
      <c r="BL362" s="165"/>
      <c r="BM362" s="163"/>
      <c r="BN362" s="165"/>
      <c r="BO362" s="165"/>
      <c r="BP362" s="165"/>
      <c r="BQ362" s="167"/>
    </row>
    <row r="363" spans="1:270" ht="39.950000000000003" customHeight="1" outlineLevel="1" x14ac:dyDescent="0.3">
      <c r="A363" s="15" t="s">
        <v>426</v>
      </c>
      <c r="B363" s="12" t="s">
        <v>473</v>
      </c>
      <c r="C363" s="9" t="s">
        <v>73</v>
      </c>
      <c r="D363" s="66" t="s">
        <v>474</v>
      </c>
      <c r="E363" s="158">
        <f t="shared" si="68"/>
        <v>791.39756999999997</v>
      </c>
      <c r="F363" s="159">
        <f t="shared" si="69"/>
        <v>0</v>
      </c>
      <c r="G363" s="160">
        <f t="shared" si="70"/>
        <v>791.39756999999997</v>
      </c>
      <c r="H363" s="166"/>
      <c r="I363" s="165"/>
      <c r="J363" s="160"/>
      <c r="K363" s="160"/>
      <c r="L363" s="166"/>
      <c r="M363" s="165"/>
      <c r="N363" s="165"/>
      <c r="O363" s="165"/>
      <c r="P363" s="160"/>
      <c r="Q363" s="166"/>
      <c r="R363" s="165"/>
      <c r="S363" s="165"/>
      <c r="T363" s="159"/>
      <c r="U363" s="160"/>
      <c r="V363" s="165"/>
      <c r="W363" s="165"/>
      <c r="X363" s="160"/>
      <c r="Y363" s="166"/>
      <c r="Z363" s="160"/>
      <c r="AA363" s="160"/>
      <c r="AB363" s="165"/>
      <c r="AC363" s="165"/>
      <c r="AD363" s="165"/>
      <c r="AE363" s="165"/>
      <c r="AF363" s="160"/>
      <c r="AG363" s="160"/>
      <c r="AH363" s="160"/>
      <c r="AI363" s="160"/>
      <c r="AJ363" s="161"/>
      <c r="AK363" s="162"/>
      <c r="AL363" s="165"/>
      <c r="AM363" s="166"/>
      <c r="AN363" s="165"/>
      <c r="AO363" s="160"/>
      <c r="AP363" s="162"/>
      <c r="AQ363" s="161"/>
      <c r="AR363" s="162"/>
      <c r="AS363" s="161"/>
      <c r="AT363" s="165">
        <f>110.601+481.5765+17.9857+181.23437</f>
        <v>791.39756999999997</v>
      </c>
      <c r="AU363" s="166"/>
      <c r="AV363" s="165"/>
      <c r="AW363" s="166"/>
      <c r="AX363" s="165"/>
      <c r="AY363" s="165"/>
      <c r="AZ363" s="165"/>
      <c r="BA363" s="165"/>
      <c r="BB363" s="166"/>
      <c r="BC363" s="165"/>
      <c r="BD363" s="165"/>
      <c r="BE363" s="165"/>
      <c r="BF363" s="165"/>
      <c r="BG363" s="165"/>
      <c r="BH363" s="165"/>
      <c r="BI363" s="165"/>
      <c r="BJ363" s="166"/>
      <c r="BK363" s="165"/>
      <c r="BL363" s="165"/>
      <c r="BM363" s="163"/>
      <c r="BN363" s="165"/>
      <c r="BO363" s="165"/>
      <c r="BP363" s="165"/>
      <c r="BQ363" s="167"/>
    </row>
    <row r="364" spans="1:270" ht="39.950000000000003" customHeight="1" outlineLevel="1" x14ac:dyDescent="0.3">
      <c r="A364" s="15" t="s">
        <v>426</v>
      </c>
      <c r="B364" s="12" t="s">
        <v>427</v>
      </c>
      <c r="C364" s="9" t="s">
        <v>6</v>
      </c>
      <c r="D364" s="66" t="s">
        <v>428</v>
      </c>
      <c r="E364" s="158">
        <f t="shared" si="68"/>
        <v>1638.6277299999999</v>
      </c>
      <c r="F364" s="159">
        <f t="shared" si="69"/>
        <v>359.56132000000002</v>
      </c>
      <c r="G364" s="160">
        <f t="shared" si="70"/>
        <v>1279.0664099999999</v>
      </c>
      <c r="H364" s="166"/>
      <c r="I364" s="165"/>
      <c r="J364" s="160"/>
      <c r="K364" s="160"/>
      <c r="L364" s="166">
        <v>359.56132000000002</v>
      </c>
      <c r="M364" s="165">
        <v>563.54641000000004</v>
      </c>
      <c r="N364" s="165"/>
      <c r="O364" s="165"/>
      <c r="P364" s="160"/>
      <c r="Q364" s="166"/>
      <c r="R364" s="165"/>
      <c r="S364" s="165"/>
      <c r="T364" s="159"/>
      <c r="U364" s="160"/>
      <c r="V364" s="165"/>
      <c r="W364" s="165">
        <v>715.52</v>
      </c>
      <c r="X364" s="160"/>
      <c r="Y364" s="166"/>
      <c r="Z364" s="160"/>
      <c r="AA364" s="160"/>
      <c r="AB364" s="165"/>
      <c r="AC364" s="165"/>
      <c r="AD364" s="165"/>
      <c r="AE364" s="165"/>
      <c r="AF364" s="160"/>
      <c r="AG364" s="160"/>
      <c r="AH364" s="160"/>
      <c r="AI364" s="160"/>
      <c r="AJ364" s="161"/>
      <c r="AK364" s="162"/>
      <c r="AL364" s="165"/>
      <c r="AM364" s="166"/>
      <c r="AN364" s="165"/>
      <c r="AO364" s="160"/>
      <c r="AP364" s="162"/>
      <c r="AQ364" s="161"/>
      <c r="AR364" s="162"/>
      <c r="AS364" s="161"/>
      <c r="AT364" s="165"/>
      <c r="AU364" s="166"/>
      <c r="AV364" s="165"/>
      <c r="AW364" s="166"/>
      <c r="AX364" s="165"/>
      <c r="AY364" s="165"/>
      <c r="AZ364" s="165"/>
      <c r="BA364" s="165"/>
      <c r="BB364" s="166"/>
      <c r="BC364" s="165"/>
      <c r="BD364" s="165"/>
      <c r="BE364" s="165"/>
      <c r="BF364" s="165"/>
      <c r="BG364" s="165"/>
      <c r="BH364" s="165"/>
      <c r="BI364" s="165"/>
      <c r="BJ364" s="166"/>
      <c r="BK364" s="165"/>
      <c r="BL364" s="165"/>
      <c r="BM364" s="163"/>
      <c r="BN364" s="165"/>
      <c r="BO364" s="165"/>
      <c r="BP364" s="165"/>
      <c r="BQ364" s="167"/>
    </row>
    <row r="365" spans="1:270" ht="39.950000000000003" customHeight="1" outlineLevel="1" x14ac:dyDescent="0.3">
      <c r="A365" s="15" t="s">
        <v>426</v>
      </c>
      <c r="B365" s="12" t="s">
        <v>114</v>
      </c>
      <c r="C365" s="9" t="s">
        <v>6</v>
      </c>
      <c r="D365" s="66">
        <v>2416006091</v>
      </c>
      <c r="E365" s="158">
        <f t="shared" si="68"/>
        <v>2261.7397999999998</v>
      </c>
      <c r="F365" s="159">
        <f t="shared" si="69"/>
        <v>295.34332000000001</v>
      </c>
      <c r="G365" s="160">
        <f t="shared" si="70"/>
        <v>1966.3964799999999</v>
      </c>
      <c r="H365" s="166"/>
      <c r="I365" s="165"/>
      <c r="J365" s="160"/>
      <c r="K365" s="160"/>
      <c r="L365" s="166">
        <v>295.34332000000001</v>
      </c>
      <c r="M365" s="165">
        <v>462.89648</v>
      </c>
      <c r="N365" s="165"/>
      <c r="O365" s="165"/>
      <c r="P365" s="160"/>
      <c r="Q365" s="166"/>
      <c r="R365" s="165"/>
      <c r="S365" s="165"/>
      <c r="T365" s="159"/>
      <c r="U365" s="160"/>
      <c r="V365" s="165"/>
      <c r="W365" s="165">
        <f>1456</f>
        <v>1456</v>
      </c>
      <c r="X365" s="160"/>
      <c r="Y365" s="166"/>
      <c r="Z365" s="160"/>
      <c r="AA365" s="160"/>
      <c r="AB365" s="165"/>
      <c r="AC365" s="165"/>
      <c r="AD365" s="165"/>
      <c r="AE365" s="165"/>
      <c r="AF365" s="160"/>
      <c r="AG365" s="160"/>
      <c r="AH365" s="160"/>
      <c r="AI365" s="160"/>
      <c r="AJ365" s="161"/>
      <c r="AK365" s="162"/>
      <c r="AL365" s="165"/>
      <c r="AM365" s="166"/>
      <c r="AN365" s="165"/>
      <c r="AO365" s="160"/>
      <c r="AP365" s="162"/>
      <c r="AQ365" s="161"/>
      <c r="AR365" s="162"/>
      <c r="AS365" s="161"/>
      <c r="AT365" s="165"/>
      <c r="AU365" s="166"/>
      <c r="AV365" s="165"/>
      <c r="AW365" s="166"/>
      <c r="AX365" s="165"/>
      <c r="AY365" s="165"/>
      <c r="AZ365" s="165"/>
      <c r="BA365" s="165"/>
      <c r="BB365" s="166"/>
      <c r="BC365" s="165"/>
      <c r="BD365" s="165"/>
      <c r="BE365" s="165"/>
      <c r="BF365" s="165"/>
      <c r="BG365" s="165">
        <v>47.5</v>
      </c>
      <c r="BH365" s="165"/>
      <c r="BI365" s="165"/>
      <c r="BJ365" s="166"/>
      <c r="BK365" s="165"/>
      <c r="BL365" s="165"/>
      <c r="BM365" s="163"/>
      <c r="BN365" s="165"/>
      <c r="BO365" s="165"/>
      <c r="BP365" s="165"/>
      <c r="BQ365" s="167"/>
    </row>
    <row r="366" spans="1:270" ht="39.950000000000003" customHeight="1" outlineLevel="1" x14ac:dyDescent="0.3">
      <c r="A366" s="15" t="s">
        <v>426</v>
      </c>
      <c r="B366" s="12" t="s">
        <v>429</v>
      </c>
      <c r="C366" s="9" t="s">
        <v>6</v>
      </c>
      <c r="D366" s="66" t="s">
        <v>430</v>
      </c>
      <c r="E366" s="158">
        <f t="shared" si="68"/>
        <v>436.86234000000002</v>
      </c>
      <c r="F366" s="159">
        <f t="shared" si="69"/>
        <v>157.77125000000001</v>
      </c>
      <c r="G366" s="160">
        <f t="shared" si="70"/>
        <v>279.09109000000001</v>
      </c>
      <c r="H366" s="166"/>
      <c r="I366" s="165"/>
      <c r="J366" s="160"/>
      <c r="K366" s="160"/>
      <c r="L366" s="166">
        <v>157.77125000000001</v>
      </c>
      <c r="M366" s="165">
        <v>247.27749</v>
      </c>
      <c r="N366" s="165"/>
      <c r="O366" s="165"/>
      <c r="P366" s="160"/>
      <c r="Q366" s="166"/>
      <c r="R366" s="165"/>
      <c r="S366" s="165"/>
      <c r="T366" s="159"/>
      <c r="U366" s="160"/>
      <c r="V366" s="165"/>
      <c r="W366" s="165"/>
      <c r="X366" s="160"/>
      <c r="Y366" s="166"/>
      <c r="Z366" s="160"/>
      <c r="AA366" s="160"/>
      <c r="AB366" s="165"/>
      <c r="AC366" s="165"/>
      <c r="AD366" s="165"/>
      <c r="AE366" s="165"/>
      <c r="AF366" s="160"/>
      <c r="AG366" s="160"/>
      <c r="AH366" s="160"/>
      <c r="AI366" s="160"/>
      <c r="AJ366" s="161"/>
      <c r="AK366" s="162"/>
      <c r="AL366" s="165"/>
      <c r="AM366" s="166"/>
      <c r="AN366" s="165"/>
      <c r="AO366" s="160"/>
      <c r="AP366" s="162"/>
      <c r="AQ366" s="161"/>
      <c r="AR366" s="162"/>
      <c r="AS366" s="161"/>
      <c r="AT366" s="165"/>
      <c r="AU366" s="166"/>
      <c r="AV366" s="165"/>
      <c r="AW366" s="166"/>
      <c r="AX366" s="165"/>
      <c r="AY366" s="165"/>
      <c r="AZ366" s="165"/>
      <c r="BA366" s="165"/>
      <c r="BB366" s="166"/>
      <c r="BC366" s="165"/>
      <c r="BD366" s="165"/>
      <c r="BE366" s="165">
        <v>31.813600000000001</v>
      </c>
      <c r="BF366" s="165"/>
      <c r="BG366" s="165"/>
      <c r="BH366" s="165"/>
      <c r="BI366" s="165"/>
      <c r="BJ366" s="166"/>
      <c r="BK366" s="165"/>
      <c r="BL366" s="165"/>
      <c r="BM366" s="163"/>
      <c r="BN366" s="165"/>
      <c r="BO366" s="165"/>
      <c r="BP366" s="165"/>
      <c r="BQ366" s="167"/>
    </row>
    <row r="367" spans="1:270" s="34" customFormat="1" ht="39.950000000000003" customHeight="1" x14ac:dyDescent="0.3">
      <c r="A367" s="118" t="s">
        <v>475</v>
      </c>
      <c r="B367" s="115"/>
      <c r="C367" s="116" t="s">
        <v>80</v>
      </c>
      <c r="D367" s="117"/>
      <c r="E367" s="171">
        <f>SUBTOTAL(9,E331:E366)</f>
        <v>42124.378270000001</v>
      </c>
      <c r="F367" s="171">
        <f t="shared" ref="F367:BP367" si="71">SUBTOTAL(9,F331:F366)</f>
        <v>7011.9125199999999</v>
      </c>
      <c r="G367" s="171">
        <f t="shared" si="71"/>
        <v>35112.465750000003</v>
      </c>
      <c r="H367" s="171">
        <f t="shared" si="71"/>
        <v>3436.66048</v>
      </c>
      <c r="I367" s="171">
        <f t="shared" si="71"/>
        <v>1145.55348</v>
      </c>
      <c r="J367" s="171">
        <f t="shared" si="71"/>
        <v>0</v>
      </c>
      <c r="K367" s="171">
        <f t="shared" si="71"/>
        <v>0</v>
      </c>
      <c r="L367" s="171">
        <f t="shared" si="71"/>
        <v>3235.0174799999995</v>
      </c>
      <c r="M367" s="171">
        <f t="shared" si="71"/>
        <v>5070.2965299999996</v>
      </c>
      <c r="N367" s="171">
        <f t="shared" si="71"/>
        <v>0</v>
      </c>
      <c r="O367" s="171">
        <f>SUBTOTAL(9,O331:O366)</f>
        <v>0</v>
      </c>
      <c r="P367" s="171">
        <f>SUBTOTAL(9,P331:P366)</f>
        <v>0</v>
      </c>
      <c r="Q367" s="171">
        <f t="shared" si="71"/>
        <v>0</v>
      </c>
      <c r="R367" s="171">
        <f t="shared" si="71"/>
        <v>0</v>
      </c>
      <c r="S367" s="171">
        <f t="shared" si="71"/>
        <v>0</v>
      </c>
      <c r="T367" s="171">
        <f>SUBTOTAL(9,T331:T366)</f>
        <v>0</v>
      </c>
      <c r="U367" s="171">
        <f>SUBTOTAL(9,U331:U366)</f>
        <v>0</v>
      </c>
      <c r="V367" s="171">
        <f t="shared" si="71"/>
        <v>0</v>
      </c>
      <c r="W367" s="171">
        <f t="shared" si="71"/>
        <v>3727.3599999999997</v>
      </c>
      <c r="X367" s="171">
        <f>SUBTOTAL(9,X331:X366)</f>
        <v>0</v>
      </c>
      <c r="Y367" s="171">
        <f t="shared" si="71"/>
        <v>340.23455999999999</v>
      </c>
      <c r="Z367" s="171">
        <f t="shared" si="71"/>
        <v>113.41152</v>
      </c>
      <c r="AA367" s="171">
        <f t="shared" si="71"/>
        <v>4616.7967900000003</v>
      </c>
      <c r="AB367" s="171">
        <f t="shared" si="71"/>
        <v>0</v>
      </c>
      <c r="AC367" s="171">
        <f t="shared" si="71"/>
        <v>0</v>
      </c>
      <c r="AD367" s="171">
        <f>SUBTOTAL(9,AD331:AD366)</f>
        <v>0</v>
      </c>
      <c r="AE367" s="171">
        <f t="shared" si="71"/>
        <v>0</v>
      </c>
      <c r="AF367" s="171">
        <f t="shared" si="71"/>
        <v>0</v>
      </c>
      <c r="AG367" s="171">
        <f t="shared" si="71"/>
        <v>0</v>
      </c>
      <c r="AH367" s="171">
        <f t="shared" si="71"/>
        <v>0</v>
      </c>
      <c r="AI367" s="171">
        <f t="shared" si="71"/>
        <v>0</v>
      </c>
      <c r="AJ367" s="171">
        <f t="shared" si="71"/>
        <v>0</v>
      </c>
      <c r="AK367" s="171">
        <f t="shared" si="71"/>
        <v>0</v>
      </c>
      <c r="AL367" s="171">
        <f t="shared" si="71"/>
        <v>0</v>
      </c>
      <c r="AM367" s="171">
        <f>SUBTOTAL(9,AM331:AM366)</f>
        <v>0</v>
      </c>
      <c r="AN367" s="171">
        <f>SUBTOTAL(9,AN331:AN366)</f>
        <v>0</v>
      </c>
      <c r="AO367" s="171">
        <f>SUBTOTAL(9,AO331:AO366)</f>
        <v>0</v>
      </c>
      <c r="AP367" s="171">
        <f t="shared" si="71"/>
        <v>0</v>
      </c>
      <c r="AQ367" s="171">
        <f t="shared" si="71"/>
        <v>0</v>
      </c>
      <c r="AR367" s="171">
        <f t="shared" si="71"/>
        <v>0</v>
      </c>
      <c r="AS367" s="171">
        <f t="shared" si="71"/>
        <v>0</v>
      </c>
      <c r="AT367" s="171">
        <f>SUBTOTAL(9,AT331:AT366)</f>
        <v>791.39756999999997</v>
      </c>
      <c r="AU367" s="171">
        <f t="shared" si="71"/>
        <v>0</v>
      </c>
      <c r="AV367" s="171">
        <f t="shared" si="71"/>
        <v>0</v>
      </c>
      <c r="AW367" s="171">
        <f t="shared" si="71"/>
        <v>0</v>
      </c>
      <c r="AX367" s="171">
        <f t="shared" si="71"/>
        <v>0</v>
      </c>
      <c r="AY367" s="171">
        <f t="shared" si="71"/>
        <v>0</v>
      </c>
      <c r="AZ367" s="171">
        <f t="shared" si="71"/>
        <v>0</v>
      </c>
      <c r="BA367" s="171">
        <f t="shared" si="71"/>
        <v>0</v>
      </c>
      <c r="BB367" s="171">
        <f t="shared" si="71"/>
        <v>0</v>
      </c>
      <c r="BC367" s="171">
        <f t="shared" si="71"/>
        <v>0</v>
      </c>
      <c r="BD367" s="171">
        <f t="shared" si="71"/>
        <v>0</v>
      </c>
      <c r="BE367" s="171">
        <f t="shared" si="71"/>
        <v>3707.6158599999999</v>
      </c>
      <c r="BF367" s="171">
        <f t="shared" si="71"/>
        <v>201.06899999999999</v>
      </c>
      <c r="BG367" s="171">
        <f t="shared" si="71"/>
        <v>130.101</v>
      </c>
      <c r="BH367" s="171">
        <f t="shared" si="71"/>
        <v>5600</v>
      </c>
      <c r="BI367" s="171">
        <f t="shared" si="71"/>
        <v>0</v>
      </c>
      <c r="BJ367" s="171">
        <f t="shared" si="71"/>
        <v>0</v>
      </c>
      <c r="BK367" s="171">
        <f t="shared" si="71"/>
        <v>0</v>
      </c>
      <c r="BL367" s="171">
        <f t="shared" si="71"/>
        <v>0</v>
      </c>
      <c r="BM367" s="172">
        <f>SUBTOTAL(9,BM331:BM366)</f>
        <v>10008.864</v>
      </c>
      <c r="BN367" s="171">
        <f t="shared" si="71"/>
        <v>0</v>
      </c>
      <c r="BO367" s="171">
        <f t="shared" si="71"/>
        <v>0</v>
      </c>
      <c r="BP367" s="171">
        <f t="shared" si="71"/>
        <v>0</v>
      </c>
      <c r="BQ367" s="172">
        <f t="shared" ref="BQ367" si="72">SUBTOTAL(9,BQ331:BQ366)</f>
        <v>0</v>
      </c>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c r="DV367" s="40"/>
      <c r="DW367" s="40"/>
      <c r="DX367" s="40"/>
      <c r="DY367" s="40"/>
      <c r="DZ367" s="40"/>
      <c r="EA367" s="40"/>
      <c r="EB367" s="40"/>
      <c r="EC367" s="40"/>
      <c r="ED367" s="40"/>
      <c r="EE367" s="40"/>
      <c r="EF367" s="40"/>
      <c r="EG367" s="40"/>
      <c r="EH367" s="40"/>
      <c r="EI367" s="40"/>
      <c r="EJ367" s="40"/>
      <c r="EK367" s="40"/>
      <c r="EL367" s="40"/>
      <c r="EM367" s="40"/>
      <c r="EN367" s="40"/>
      <c r="EO367" s="40"/>
      <c r="EP367" s="40"/>
      <c r="EQ367" s="40"/>
      <c r="ER367" s="40"/>
      <c r="ES367" s="40"/>
      <c r="ET367" s="40"/>
      <c r="EU367" s="40"/>
      <c r="EV367" s="40"/>
      <c r="EW367" s="40"/>
      <c r="EX367" s="40"/>
      <c r="EY367" s="40"/>
      <c r="EZ367" s="40"/>
      <c r="FA367" s="40"/>
      <c r="FB367" s="40"/>
      <c r="FC367" s="40"/>
      <c r="FD367" s="40"/>
      <c r="FE367" s="40"/>
      <c r="FF367" s="40"/>
      <c r="FG367" s="40"/>
      <c r="FH367" s="40"/>
      <c r="FI367" s="40"/>
      <c r="FJ367" s="40"/>
      <c r="FK367" s="40"/>
      <c r="FL367" s="40"/>
      <c r="FM367" s="40"/>
      <c r="FN367" s="40"/>
      <c r="FO367" s="40"/>
      <c r="FP367" s="40"/>
      <c r="FQ367" s="40"/>
      <c r="FR367" s="40"/>
      <c r="FS367" s="40"/>
      <c r="FT367" s="40"/>
      <c r="FU367" s="40"/>
      <c r="FV367" s="40"/>
      <c r="FW367" s="40"/>
      <c r="FX367" s="40"/>
      <c r="FY367" s="40"/>
      <c r="FZ367" s="40"/>
      <c r="GA367" s="40"/>
      <c r="GB367" s="40"/>
      <c r="GC367" s="40"/>
      <c r="GD367" s="40"/>
      <c r="GE367" s="40"/>
      <c r="GF367" s="40"/>
      <c r="GG367" s="40"/>
      <c r="GH367" s="40"/>
      <c r="GI367" s="40"/>
      <c r="GJ367" s="40"/>
      <c r="GK367" s="40"/>
      <c r="GL367" s="40"/>
      <c r="GM367" s="40"/>
      <c r="GN367" s="40"/>
      <c r="GO367" s="40"/>
      <c r="GP367" s="40"/>
      <c r="GQ367" s="40"/>
      <c r="GR367" s="40"/>
      <c r="GS367" s="40"/>
      <c r="GT367" s="40"/>
      <c r="GU367" s="40"/>
      <c r="GV367" s="40"/>
      <c r="GW367" s="40"/>
      <c r="GX367" s="40"/>
      <c r="GY367" s="40"/>
      <c r="GZ367" s="40"/>
      <c r="HA367" s="40"/>
      <c r="HB367" s="40"/>
      <c r="HC367" s="40"/>
      <c r="HD367" s="40"/>
      <c r="HE367" s="40"/>
      <c r="HF367" s="40"/>
      <c r="HG367" s="40"/>
      <c r="HH367" s="40"/>
      <c r="HI367" s="40"/>
      <c r="HJ367" s="40"/>
      <c r="HK367" s="40"/>
      <c r="HL367" s="40"/>
      <c r="HM367" s="40"/>
      <c r="HN367" s="40"/>
      <c r="HO367" s="40"/>
      <c r="HP367" s="40"/>
      <c r="HQ367" s="40"/>
      <c r="HR367" s="40"/>
      <c r="HS367" s="40"/>
      <c r="HT367" s="40"/>
      <c r="HU367" s="40"/>
      <c r="HV367" s="40"/>
      <c r="HW367" s="40"/>
      <c r="HX367" s="40"/>
      <c r="HY367" s="40"/>
      <c r="HZ367" s="40"/>
      <c r="IA367" s="40"/>
      <c r="IB367" s="40"/>
      <c r="IC367" s="40"/>
      <c r="ID367" s="40"/>
      <c r="IE367" s="40"/>
      <c r="IF367" s="40"/>
      <c r="IG367" s="40"/>
      <c r="IH367" s="40"/>
      <c r="II367" s="40"/>
      <c r="IJ367" s="40"/>
      <c r="IK367" s="40"/>
      <c r="IL367" s="40"/>
      <c r="IM367" s="40"/>
      <c r="IN367" s="40"/>
      <c r="IO367" s="40"/>
      <c r="IP367" s="40"/>
      <c r="IQ367" s="40"/>
      <c r="IR367" s="40"/>
      <c r="IS367" s="40"/>
      <c r="IT367" s="40"/>
      <c r="IU367" s="40"/>
      <c r="IV367" s="40"/>
      <c r="IW367" s="40"/>
      <c r="IX367" s="40"/>
      <c r="IY367" s="40"/>
      <c r="IZ367" s="40"/>
      <c r="JA367" s="40"/>
      <c r="JB367" s="40"/>
      <c r="JC367" s="40"/>
      <c r="JD367" s="40"/>
      <c r="JE367" s="40"/>
      <c r="JF367" s="40"/>
      <c r="JG367" s="40"/>
      <c r="JH367" s="40"/>
      <c r="JI367" s="40"/>
      <c r="JJ367" s="40"/>
    </row>
    <row r="368" spans="1:270" ht="39.950000000000003" customHeight="1" outlineLevel="1" x14ac:dyDescent="0.3">
      <c r="A368" s="15" t="s">
        <v>476</v>
      </c>
      <c r="B368" s="12" t="s">
        <v>484</v>
      </c>
      <c r="C368" s="9" t="s">
        <v>28</v>
      </c>
      <c r="D368" s="66" t="s">
        <v>485</v>
      </c>
      <c r="E368" s="158">
        <f t="shared" ref="E368:E372" si="73">F368+G368</f>
        <v>216.40724</v>
      </c>
      <c r="F368" s="159">
        <f>H368+L368+Q368+Y368+T368+AK368+AP368+AM368+AR368+AU368+AW368+BB368+BJ368</f>
        <v>84.29316</v>
      </c>
      <c r="G368" s="160">
        <f>I368+J368+K368+M368+N368+R368+S368+V368+W368+AD368+O368+X368+Z368+AA368+AB368+AC368+AE368+AF368+P368+U368+AG368+AH368+AI368+AO368+AJ368+AL368+AQ368+AN368+AS368+AV368+AX368+AY368+AZ368+BA368+BC368+BD368+BE368+BF368+BG368+BH368+BI368+AT368+BK368+BL368+BN368+BO368+BP368+BQ368+BM368</f>
        <v>132.11408</v>
      </c>
      <c r="H368" s="166"/>
      <c r="I368" s="165"/>
      <c r="J368" s="160"/>
      <c r="K368" s="160"/>
      <c r="L368" s="166">
        <v>84.29316</v>
      </c>
      <c r="M368" s="165">
        <v>132.11408</v>
      </c>
      <c r="N368" s="165"/>
      <c r="O368" s="165"/>
      <c r="P368" s="160"/>
      <c r="Q368" s="166"/>
      <c r="R368" s="165"/>
      <c r="S368" s="165"/>
      <c r="T368" s="159"/>
      <c r="U368" s="160"/>
      <c r="V368" s="165"/>
      <c r="W368" s="165"/>
      <c r="X368" s="160"/>
      <c r="Y368" s="166"/>
      <c r="Z368" s="160"/>
      <c r="AA368" s="160"/>
      <c r="AB368" s="165"/>
      <c r="AC368" s="165"/>
      <c r="AD368" s="165"/>
      <c r="AE368" s="165"/>
      <c r="AF368" s="160"/>
      <c r="AG368" s="160"/>
      <c r="AH368" s="160"/>
      <c r="AI368" s="160"/>
      <c r="AJ368" s="161"/>
      <c r="AK368" s="162"/>
      <c r="AL368" s="165"/>
      <c r="AM368" s="166"/>
      <c r="AN368" s="165"/>
      <c r="AO368" s="160"/>
      <c r="AP368" s="162"/>
      <c r="AQ368" s="161"/>
      <c r="AR368" s="162"/>
      <c r="AS368" s="161"/>
      <c r="AT368" s="165"/>
      <c r="AU368" s="166"/>
      <c r="AV368" s="165"/>
      <c r="AW368" s="166"/>
      <c r="AX368" s="165"/>
      <c r="AY368" s="165"/>
      <c r="AZ368" s="165"/>
      <c r="BA368" s="165"/>
      <c r="BB368" s="166"/>
      <c r="BC368" s="165"/>
      <c r="BD368" s="165"/>
      <c r="BE368" s="165"/>
      <c r="BF368" s="165"/>
      <c r="BG368" s="165"/>
      <c r="BH368" s="165"/>
      <c r="BI368" s="165"/>
      <c r="BJ368" s="166"/>
      <c r="BK368" s="165"/>
      <c r="BL368" s="165"/>
      <c r="BM368" s="163"/>
      <c r="BN368" s="165"/>
      <c r="BO368" s="165"/>
      <c r="BP368" s="165"/>
      <c r="BQ368" s="167"/>
    </row>
    <row r="369" spans="1:270" ht="39.950000000000003" customHeight="1" outlineLevel="1" x14ac:dyDescent="0.3">
      <c r="A369" s="12" t="s">
        <v>476</v>
      </c>
      <c r="B369" s="12" t="s">
        <v>481</v>
      </c>
      <c r="C369" s="25" t="s">
        <v>30</v>
      </c>
      <c r="D369" s="66" t="s">
        <v>482</v>
      </c>
      <c r="E369" s="158">
        <f t="shared" si="73"/>
        <v>55.737099999999998</v>
      </c>
      <c r="F369" s="159">
        <f>H369+L369+Q369+Y369+T369+AK369+AP369+AM369+AR369+AU369+AW369+BB369+BJ369</f>
        <v>21.710260000000002</v>
      </c>
      <c r="G369" s="160">
        <f>I369+J369+K369+M369+N369+R369+S369+V369+W369+AD369+O369+X369+Z369+AA369+AB369+AC369+AE369+AF369+P369+U369+AG369+AH369+AI369+AO369+AJ369+AL369+AQ369+AN369+AS369+AV369+AX369+AY369+AZ369+BA369+BC369+BD369+BE369+BF369+BG369+BH369+BI369+AT369+BK369+BL369+BN369+BO369+BP369+BQ369+BM369</f>
        <v>34.02684</v>
      </c>
      <c r="H369" s="166"/>
      <c r="I369" s="165"/>
      <c r="J369" s="160"/>
      <c r="K369" s="160"/>
      <c r="L369" s="166">
        <v>21.710260000000002</v>
      </c>
      <c r="M369" s="165">
        <v>34.02684</v>
      </c>
      <c r="N369" s="165"/>
      <c r="O369" s="165"/>
      <c r="P369" s="160"/>
      <c r="Q369" s="166"/>
      <c r="R369" s="165"/>
      <c r="S369" s="165"/>
      <c r="T369" s="159"/>
      <c r="U369" s="160"/>
      <c r="V369" s="165"/>
      <c r="W369" s="165"/>
      <c r="X369" s="160"/>
      <c r="Y369" s="166"/>
      <c r="Z369" s="160"/>
      <c r="AA369" s="160"/>
      <c r="AB369" s="165"/>
      <c r="AC369" s="165"/>
      <c r="AD369" s="165"/>
      <c r="AE369" s="165"/>
      <c r="AF369" s="160"/>
      <c r="AG369" s="160"/>
      <c r="AH369" s="160"/>
      <c r="AI369" s="160"/>
      <c r="AJ369" s="161"/>
      <c r="AK369" s="162"/>
      <c r="AL369" s="165"/>
      <c r="AM369" s="166"/>
      <c r="AN369" s="165"/>
      <c r="AO369" s="160"/>
      <c r="AP369" s="162"/>
      <c r="AQ369" s="161"/>
      <c r="AR369" s="162"/>
      <c r="AS369" s="161"/>
      <c r="AT369" s="165"/>
      <c r="AU369" s="166"/>
      <c r="AV369" s="165"/>
      <c r="AW369" s="166"/>
      <c r="AX369" s="165"/>
      <c r="AY369" s="165"/>
      <c r="AZ369" s="165"/>
      <c r="BA369" s="165"/>
      <c r="BB369" s="166"/>
      <c r="BC369" s="165"/>
      <c r="BD369" s="165"/>
      <c r="BE369" s="165"/>
      <c r="BF369" s="165"/>
      <c r="BG369" s="165"/>
      <c r="BH369" s="165"/>
      <c r="BI369" s="165"/>
      <c r="BJ369" s="166"/>
      <c r="BK369" s="165"/>
      <c r="BL369" s="165"/>
      <c r="BM369" s="163"/>
      <c r="BN369" s="165"/>
      <c r="BO369" s="165"/>
      <c r="BP369" s="165"/>
      <c r="BQ369" s="167"/>
    </row>
    <row r="370" spans="1:270" ht="39.950000000000003" customHeight="1" outlineLevel="1" x14ac:dyDescent="0.3">
      <c r="A370" s="12" t="s">
        <v>476</v>
      </c>
      <c r="B370" s="12" t="s">
        <v>483</v>
      </c>
      <c r="C370" s="25" t="s">
        <v>30</v>
      </c>
      <c r="D370" s="66" t="s">
        <v>1199</v>
      </c>
      <c r="E370" s="158">
        <f t="shared" si="73"/>
        <v>138.04510000000002</v>
      </c>
      <c r="F370" s="159">
        <f>H370+L370+Q370+Y370+T370+AK370+AP370+AM370+AR370+AU370+AW370+BB370+BJ370</f>
        <v>60.367730000000002</v>
      </c>
      <c r="G370" s="160">
        <f>I370+J370+K370+M370+N370+R370+S370+V370+W370+AD370+O370+X370+Z370+AA370+AB370+AC370+AE370+AF370+P370+U370+AG370+AH370+AI370+AO370+AJ370+AL370+AQ370+AN370+AS370+AV370+AX370+AY370+AZ370+BA370+BC370+BD370+BE370+BF370+BG370+BH370+BI370+AT370+BK370+BL370+BN370+BO370+BP370+BQ370+BM370</f>
        <v>77.67737000000001</v>
      </c>
      <c r="H370" s="166">
        <v>13.72625</v>
      </c>
      <c r="I370" s="165">
        <v>4.5754099999999998</v>
      </c>
      <c r="J370" s="160"/>
      <c r="K370" s="160"/>
      <c r="L370" s="166">
        <v>46.641480000000001</v>
      </c>
      <c r="M370" s="165">
        <v>73.101960000000005</v>
      </c>
      <c r="N370" s="165"/>
      <c r="O370" s="165"/>
      <c r="P370" s="160"/>
      <c r="Q370" s="166"/>
      <c r="R370" s="165"/>
      <c r="S370" s="165"/>
      <c r="T370" s="159"/>
      <c r="U370" s="160"/>
      <c r="V370" s="165"/>
      <c r="W370" s="165"/>
      <c r="X370" s="160"/>
      <c r="Y370" s="166"/>
      <c r="Z370" s="160"/>
      <c r="AA370" s="160"/>
      <c r="AB370" s="165"/>
      <c r="AC370" s="165"/>
      <c r="AD370" s="165"/>
      <c r="AE370" s="165"/>
      <c r="AF370" s="160"/>
      <c r="AG370" s="160"/>
      <c r="AH370" s="160"/>
      <c r="AI370" s="160"/>
      <c r="AJ370" s="161"/>
      <c r="AK370" s="162"/>
      <c r="AL370" s="165"/>
      <c r="AM370" s="166"/>
      <c r="AN370" s="165"/>
      <c r="AO370" s="160"/>
      <c r="AP370" s="162"/>
      <c r="AQ370" s="161"/>
      <c r="AR370" s="162"/>
      <c r="AS370" s="161"/>
      <c r="AT370" s="165"/>
      <c r="AU370" s="166"/>
      <c r="AV370" s="165"/>
      <c r="AW370" s="166"/>
      <c r="AX370" s="165"/>
      <c r="AY370" s="165"/>
      <c r="AZ370" s="165"/>
      <c r="BA370" s="165"/>
      <c r="BB370" s="166"/>
      <c r="BC370" s="165"/>
      <c r="BD370" s="165"/>
      <c r="BE370" s="165"/>
      <c r="BF370" s="165"/>
      <c r="BG370" s="165"/>
      <c r="BH370" s="165"/>
      <c r="BI370" s="165"/>
      <c r="BJ370" s="166"/>
      <c r="BK370" s="165"/>
      <c r="BL370" s="165"/>
      <c r="BM370" s="163"/>
      <c r="BN370" s="165"/>
      <c r="BO370" s="165"/>
      <c r="BP370" s="165"/>
      <c r="BQ370" s="167"/>
    </row>
    <row r="371" spans="1:270" ht="39.950000000000003" customHeight="1" outlineLevel="1" x14ac:dyDescent="0.3">
      <c r="A371" s="12" t="s">
        <v>476</v>
      </c>
      <c r="B371" s="12" t="s">
        <v>477</v>
      </c>
      <c r="C371" s="9" t="s">
        <v>6</v>
      </c>
      <c r="D371" s="66" t="s">
        <v>478</v>
      </c>
      <c r="E371" s="158">
        <f t="shared" si="73"/>
        <v>456.51760000000002</v>
      </c>
      <c r="F371" s="159">
        <f>H371+L371+Q371+Y371+T371+AK371+AP371+AM371+AR371+AU371+AW371+BB371+BJ371</f>
        <v>74.807060000000007</v>
      </c>
      <c r="G371" s="160">
        <f>I371+J371+K371+M371+N371+R371+S371+V371+W371+AD371+O371+X371+Z371+AA371+AB371+AC371+AE371+AF371+P371+U371+AG371+AH371+AI371+AO371+AJ371+AL371+AQ371+AN371+AS371+AV371+AX371+AY371+AZ371+BA371+BC371+BD371+BE371+BF371+BG371+BH371+BI371+AT371+BK371+BL371+BN371+BO371+BP371+BQ371+BM371</f>
        <v>381.71054000000004</v>
      </c>
      <c r="H371" s="166"/>
      <c r="I371" s="165"/>
      <c r="J371" s="160"/>
      <c r="K371" s="160"/>
      <c r="L371" s="166">
        <v>74.807060000000007</v>
      </c>
      <c r="M371" s="165">
        <v>117.24634</v>
      </c>
      <c r="N371" s="165"/>
      <c r="O371" s="165"/>
      <c r="P371" s="160"/>
      <c r="Q371" s="166"/>
      <c r="R371" s="165"/>
      <c r="S371" s="165"/>
      <c r="T371" s="159"/>
      <c r="U371" s="160"/>
      <c r="V371" s="165"/>
      <c r="W371" s="165"/>
      <c r="X371" s="160"/>
      <c r="Y371" s="166"/>
      <c r="Z371" s="160"/>
      <c r="AA371" s="160"/>
      <c r="AB371" s="165"/>
      <c r="AC371" s="165"/>
      <c r="AD371" s="165"/>
      <c r="AE371" s="165"/>
      <c r="AF371" s="160"/>
      <c r="AG371" s="160"/>
      <c r="AH371" s="160"/>
      <c r="AI371" s="160"/>
      <c r="AJ371" s="161"/>
      <c r="AK371" s="162"/>
      <c r="AL371" s="165"/>
      <c r="AM371" s="166"/>
      <c r="AN371" s="165"/>
      <c r="AO371" s="160"/>
      <c r="AP371" s="162"/>
      <c r="AQ371" s="161"/>
      <c r="AR371" s="162"/>
      <c r="AS371" s="161"/>
      <c r="AT371" s="165"/>
      <c r="AU371" s="166"/>
      <c r="AV371" s="165"/>
      <c r="AW371" s="166"/>
      <c r="AX371" s="165"/>
      <c r="AY371" s="165"/>
      <c r="AZ371" s="165"/>
      <c r="BA371" s="165"/>
      <c r="BB371" s="166"/>
      <c r="BC371" s="165"/>
      <c r="BD371" s="165"/>
      <c r="BE371" s="165"/>
      <c r="BF371" s="165"/>
      <c r="BG371" s="165"/>
      <c r="BH371" s="165"/>
      <c r="BI371" s="165"/>
      <c r="BJ371" s="166"/>
      <c r="BK371" s="165"/>
      <c r="BL371" s="165"/>
      <c r="BM371" s="163"/>
      <c r="BN371" s="165"/>
      <c r="BO371" s="165">
        <v>264.46420000000001</v>
      </c>
      <c r="BP371" s="165"/>
      <c r="BQ371" s="167"/>
    </row>
    <row r="372" spans="1:270" ht="39.950000000000003" customHeight="1" outlineLevel="1" x14ac:dyDescent="0.3">
      <c r="A372" s="15" t="s">
        <v>476</v>
      </c>
      <c r="B372" s="12" t="s">
        <v>479</v>
      </c>
      <c r="C372" s="9" t="s">
        <v>6</v>
      </c>
      <c r="D372" s="66" t="s">
        <v>480</v>
      </c>
      <c r="E372" s="158">
        <f t="shared" si="73"/>
        <v>2944.1353799999997</v>
      </c>
      <c r="F372" s="159">
        <f>H372+L372+Q372+Y372+T372+AK372+AP372+AM372+AR372+AU372+AW372+BB372+BJ372</f>
        <v>653.91353000000004</v>
      </c>
      <c r="G372" s="160">
        <f>I372+J372+K372+M372+N372+R372+S372+V372+W372+AD372+O372+X372+Z372+AA372+AB372+AC372+AE372+AF372+P372+U372+AG372+AH372+AI372+AO372+AJ372+AL372+AQ372+AN372+AS372+AV372+AX372+AY372+AZ372+BA372+BC372+BD372+BE372+BF372+BG372+BH372+BI372+AT372+BK372+BL372+BN372+BO372+BP372+BQ372+BM372</f>
        <v>2290.2218499999999</v>
      </c>
      <c r="H372" s="166"/>
      <c r="I372" s="165"/>
      <c r="J372" s="160">
        <v>48</v>
      </c>
      <c r="K372" s="160"/>
      <c r="L372" s="166">
        <v>470.90384</v>
      </c>
      <c r="M372" s="165">
        <v>738.05538999999999</v>
      </c>
      <c r="N372" s="165"/>
      <c r="O372" s="165"/>
      <c r="P372" s="160"/>
      <c r="Q372" s="166"/>
      <c r="R372" s="165"/>
      <c r="S372" s="165"/>
      <c r="T372" s="159"/>
      <c r="U372" s="160"/>
      <c r="V372" s="165"/>
      <c r="W372" s="165"/>
      <c r="X372" s="160"/>
      <c r="Y372" s="166">
        <v>183.00969000000001</v>
      </c>
      <c r="Z372" s="160">
        <v>61.003230000000002</v>
      </c>
      <c r="AA372" s="160">
        <v>1443.1632300000001</v>
      </c>
      <c r="AB372" s="165"/>
      <c r="AC372" s="165"/>
      <c r="AD372" s="165"/>
      <c r="AE372" s="165"/>
      <c r="AF372" s="160"/>
      <c r="AG372" s="160"/>
      <c r="AH372" s="160"/>
      <c r="AI372" s="160"/>
      <c r="AJ372" s="161"/>
      <c r="AK372" s="162"/>
      <c r="AL372" s="165"/>
      <c r="AM372" s="166"/>
      <c r="AN372" s="165"/>
      <c r="AO372" s="160"/>
      <c r="AP372" s="162"/>
      <c r="AQ372" s="161"/>
      <c r="AR372" s="162"/>
      <c r="AS372" s="161"/>
      <c r="AT372" s="165"/>
      <c r="AU372" s="166"/>
      <c r="AV372" s="165"/>
      <c r="AW372" s="166"/>
      <c r="AX372" s="165"/>
      <c r="AY372" s="165"/>
      <c r="AZ372" s="165"/>
      <c r="BA372" s="165"/>
      <c r="BB372" s="166"/>
      <c r="BC372" s="165"/>
      <c r="BD372" s="165"/>
      <c r="BE372" s="165"/>
      <c r="BF372" s="165"/>
      <c r="BG372" s="165"/>
      <c r="BH372" s="165"/>
      <c r="BI372" s="165"/>
      <c r="BJ372" s="166"/>
      <c r="BK372" s="165"/>
      <c r="BL372" s="165"/>
      <c r="BM372" s="163"/>
      <c r="BN372" s="165"/>
      <c r="BO372" s="165"/>
      <c r="BP372" s="165"/>
      <c r="BQ372" s="167"/>
    </row>
    <row r="373" spans="1:270" s="34" customFormat="1" ht="39.950000000000003" customHeight="1" x14ac:dyDescent="0.3">
      <c r="A373" s="118" t="s">
        <v>486</v>
      </c>
      <c r="B373" s="115"/>
      <c r="C373" s="116" t="s">
        <v>80</v>
      </c>
      <c r="D373" s="117"/>
      <c r="E373" s="171">
        <f>SUBTOTAL(9,E368:E372)</f>
        <v>3810.8424199999999</v>
      </c>
      <c r="F373" s="171">
        <f t="shared" ref="F373:BP373" si="74">SUBTOTAL(9,F368:F372)</f>
        <v>895.09174000000007</v>
      </c>
      <c r="G373" s="171">
        <f t="shared" si="74"/>
        <v>2915.7506800000001</v>
      </c>
      <c r="H373" s="171">
        <f t="shared" si="74"/>
        <v>13.72625</v>
      </c>
      <c r="I373" s="171">
        <f t="shared" si="74"/>
        <v>4.5754099999999998</v>
      </c>
      <c r="J373" s="171">
        <f t="shared" si="74"/>
        <v>48</v>
      </c>
      <c r="K373" s="171">
        <f t="shared" si="74"/>
        <v>0</v>
      </c>
      <c r="L373" s="171">
        <f t="shared" si="74"/>
        <v>698.35580000000004</v>
      </c>
      <c r="M373" s="171">
        <f t="shared" si="74"/>
        <v>1094.5446099999999</v>
      </c>
      <c r="N373" s="171">
        <f t="shared" si="74"/>
        <v>0</v>
      </c>
      <c r="O373" s="171">
        <f>SUBTOTAL(9,O368:O372)</f>
        <v>0</v>
      </c>
      <c r="P373" s="171">
        <f>SUBTOTAL(9,P368:P372)</f>
        <v>0</v>
      </c>
      <c r="Q373" s="171">
        <f t="shared" si="74"/>
        <v>0</v>
      </c>
      <c r="R373" s="171">
        <f t="shared" si="74"/>
        <v>0</v>
      </c>
      <c r="S373" s="171">
        <f t="shared" si="74"/>
        <v>0</v>
      </c>
      <c r="T373" s="171">
        <f>SUBTOTAL(9,T368:T372)</f>
        <v>0</v>
      </c>
      <c r="U373" s="171">
        <f>SUBTOTAL(9,U368:U372)</f>
        <v>0</v>
      </c>
      <c r="V373" s="171">
        <f t="shared" si="74"/>
        <v>0</v>
      </c>
      <c r="W373" s="171">
        <f t="shared" si="74"/>
        <v>0</v>
      </c>
      <c r="X373" s="171">
        <f>SUBTOTAL(9,X368:X372)</f>
        <v>0</v>
      </c>
      <c r="Y373" s="171">
        <f t="shared" si="74"/>
        <v>183.00969000000001</v>
      </c>
      <c r="Z373" s="171">
        <f t="shared" si="74"/>
        <v>61.003230000000002</v>
      </c>
      <c r="AA373" s="171">
        <f t="shared" si="74"/>
        <v>1443.1632300000001</v>
      </c>
      <c r="AB373" s="171">
        <f t="shared" si="74"/>
        <v>0</v>
      </c>
      <c r="AC373" s="171">
        <f t="shared" si="74"/>
        <v>0</v>
      </c>
      <c r="AD373" s="171">
        <f>SUBTOTAL(9,AD368:AD372)</f>
        <v>0</v>
      </c>
      <c r="AE373" s="171">
        <f t="shared" si="74"/>
        <v>0</v>
      </c>
      <c r="AF373" s="171">
        <f t="shared" si="74"/>
        <v>0</v>
      </c>
      <c r="AG373" s="171">
        <f t="shared" si="74"/>
        <v>0</v>
      </c>
      <c r="AH373" s="171">
        <f t="shared" si="74"/>
        <v>0</v>
      </c>
      <c r="AI373" s="171">
        <f t="shared" si="74"/>
        <v>0</v>
      </c>
      <c r="AJ373" s="171">
        <f t="shared" si="74"/>
        <v>0</v>
      </c>
      <c r="AK373" s="171">
        <f t="shared" si="74"/>
        <v>0</v>
      </c>
      <c r="AL373" s="171">
        <f t="shared" si="74"/>
        <v>0</v>
      </c>
      <c r="AM373" s="171">
        <f>SUBTOTAL(9,AM368:AM372)</f>
        <v>0</v>
      </c>
      <c r="AN373" s="171">
        <f>SUBTOTAL(9,AN368:AN372)</f>
        <v>0</v>
      </c>
      <c r="AO373" s="171">
        <f>SUBTOTAL(9,AO368:AO372)</f>
        <v>0</v>
      </c>
      <c r="AP373" s="171">
        <f t="shared" si="74"/>
        <v>0</v>
      </c>
      <c r="AQ373" s="171">
        <f t="shared" si="74"/>
        <v>0</v>
      </c>
      <c r="AR373" s="171">
        <f t="shared" si="74"/>
        <v>0</v>
      </c>
      <c r="AS373" s="171">
        <f t="shared" si="74"/>
        <v>0</v>
      </c>
      <c r="AT373" s="171">
        <f>SUBTOTAL(9,AT368:AT372)</f>
        <v>0</v>
      </c>
      <c r="AU373" s="171">
        <f t="shared" si="74"/>
        <v>0</v>
      </c>
      <c r="AV373" s="171">
        <f t="shared" si="74"/>
        <v>0</v>
      </c>
      <c r="AW373" s="171">
        <f t="shared" si="74"/>
        <v>0</v>
      </c>
      <c r="AX373" s="171">
        <f t="shared" si="74"/>
        <v>0</v>
      </c>
      <c r="AY373" s="171">
        <f t="shared" si="74"/>
        <v>0</v>
      </c>
      <c r="AZ373" s="171">
        <f t="shared" si="74"/>
        <v>0</v>
      </c>
      <c r="BA373" s="171">
        <f t="shared" si="74"/>
        <v>0</v>
      </c>
      <c r="BB373" s="171">
        <f t="shared" si="74"/>
        <v>0</v>
      </c>
      <c r="BC373" s="171">
        <f t="shared" si="74"/>
        <v>0</v>
      </c>
      <c r="BD373" s="171">
        <f t="shared" si="74"/>
        <v>0</v>
      </c>
      <c r="BE373" s="171">
        <f t="shared" si="74"/>
        <v>0</v>
      </c>
      <c r="BF373" s="171">
        <f t="shared" si="74"/>
        <v>0</v>
      </c>
      <c r="BG373" s="171">
        <f t="shared" si="74"/>
        <v>0</v>
      </c>
      <c r="BH373" s="171">
        <f t="shared" si="74"/>
        <v>0</v>
      </c>
      <c r="BI373" s="171">
        <f t="shared" si="74"/>
        <v>0</v>
      </c>
      <c r="BJ373" s="171">
        <f t="shared" si="74"/>
        <v>0</v>
      </c>
      <c r="BK373" s="171">
        <f t="shared" si="74"/>
        <v>0</v>
      </c>
      <c r="BL373" s="171">
        <f t="shared" si="74"/>
        <v>0</v>
      </c>
      <c r="BM373" s="172">
        <f>SUBTOTAL(9,BM368:BM372)</f>
        <v>0</v>
      </c>
      <c r="BN373" s="171">
        <f t="shared" si="74"/>
        <v>0</v>
      </c>
      <c r="BO373" s="171">
        <f t="shared" si="74"/>
        <v>264.46420000000001</v>
      </c>
      <c r="BP373" s="171">
        <f t="shared" si="74"/>
        <v>0</v>
      </c>
      <c r="BQ373" s="172">
        <f t="shared" ref="BQ373" si="75">SUBTOTAL(9,BQ368:BQ372)</f>
        <v>0</v>
      </c>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c r="DV373" s="40"/>
      <c r="DW373" s="40"/>
      <c r="DX373" s="40"/>
      <c r="DY373" s="40"/>
      <c r="DZ373" s="40"/>
      <c r="EA373" s="40"/>
      <c r="EB373" s="40"/>
      <c r="EC373" s="40"/>
      <c r="ED373" s="40"/>
      <c r="EE373" s="40"/>
      <c r="EF373" s="40"/>
      <c r="EG373" s="40"/>
      <c r="EH373" s="40"/>
      <c r="EI373" s="40"/>
      <c r="EJ373" s="40"/>
      <c r="EK373" s="40"/>
      <c r="EL373" s="40"/>
      <c r="EM373" s="40"/>
      <c r="EN373" s="40"/>
      <c r="EO373" s="40"/>
      <c r="EP373" s="40"/>
      <c r="EQ373" s="40"/>
      <c r="ER373" s="40"/>
      <c r="ES373" s="40"/>
      <c r="ET373" s="40"/>
      <c r="EU373" s="40"/>
      <c r="EV373" s="40"/>
      <c r="EW373" s="40"/>
      <c r="EX373" s="40"/>
      <c r="EY373" s="40"/>
      <c r="EZ373" s="40"/>
      <c r="FA373" s="40"/>
      <c r="FB373" s="40"/>
      <c r="FC373" s="40"/>
      <c r="FD373" s="40"/>
      <c r="FE373" s="40"/>
      <c r="FF373" s="40"/>
      <c r="FG373" s="40"/>
      <c r="FH373" s="40"/>
      <c r="FI373" s="40"/>
      <c r="FJ373" s="40"/>
      <c r="FK373" s="40"/>
      <c r="FL373" s="40"/>
      <c r="FM373" s="40"/>
      <c r="FN373" s="40"/>
      <c r="FO373" s="40"/>
      <c r="FP373" s="40"/>
      <c r="FQ373" s="40"/>
      <c r="FR373" s="40"/>
      <c r="FS373" s="40"/>
      <c r="FT373" s="40"/>
      <c r="FU373" s="40"/>
      <c r="FV373" s="40"/>
      <c r="FW373" s="40"/>
      <c r="FX373" s="40"/>
      <c r="FY373" s="40"/>
      <c r="FZ373" s="40"/>
      <c r="GA373" s="40"/>
      <c r="GB373" s="40"/>
      <c r="GC373" s="40"/>
      <c r="GD373" s="40"/>
      <c r="GE373" s="40"/>
      <c r="GF373" s="40"/>
      <c r="GG373" s="40"/>
      <c r="GH373" s="40"/>
      <c r="GI373" s="40"/>
      <c r="GJ373" s="40"/>
      <c r="GK373" s="40"/>
      <c r="GL373" s="40"/>
      <c r="GM373" s="40"/>
      <c r="GN373" s="40"/>
      <c r="GO373" s="40"/>
      <c r="GP373" s="40"/>
      <c r="GQ373" s="40"/>
      <c r="GR373" s="40"/>
      <c r="GS373" s="40"/>
      <c r="GT373" s="40"/>
      <c r="GU373" s="40"/>
      <c r="GV373" s="40"/>
      <c r="GW373" s="40"/>
      <c r="GX373" s="40"/>
      <c r="GY373" s="40"/>
      <c r="GZ373" s="40"/>
      <c r="HA373" s="40"/>
      <c r="HB373" s="40"/>
      <c r="HC373" s="40"/>
      <c r="HD373" s="40"/>
      <c r="HE373" s="40"/>
      <c r="HF373" s="40"/>
      <c r="HG373" s="40"/>
      <c r="HH373" s="40"/>
      <c r="HI373" s="40"/>
      <c r="HJ373" s="40"/>
      <c r="HK373" s="40"/>
      <c r="HL373" s="40"/>
      <c r="HM373" s="40"/>
      <c r="HN373" s="40"/>
      <c r="HO373" s="40"/>
      <c r="HP373" s="40"/>
      <c r="HQ373" s="40"/>
      <c r="HR373" s="40"/>
      <c r="HS373" s="40"/>
      <c r="HT373" s="40"/>
      <c r="HU373" s="40"/>
      <c r="HV373" s="40"/>
      <c r="HW373" s="40"/>
      <c r="HX373" s="40"/>
      <c r="HY373" s="40"/>
      <c r="HZ373" s="40"/>
      <c r="IA373" s="40"/>
      <c r="IB373" s="40"/>
      <c r="IC373" s="40"/>
      <c r="ID373" s="40"/>
      <c r="IE373" s="40"/>
      <c r="IF373" s="40"/>
      <c r="IG373" s="40"/>
      <c r="IH373" s="40"/>
      <c r="II373" s="40"/>
      <c r="IJ373" s="40"/>
      <c r="IK373" s="40"/>
      <c r="IL373" s="40"/>
      <c r="IM373" s="40"/>
      <c r="IN373" s="40"/>
      <c r="IO373" s="40"/>
      <c r="IP373" s="40"/>
      <c r="IQ373" s="40"/>
      <c r="IR373" s="40"/>
      <c r="IS373" s="40"/>
      <c r="IT373" s="40"/>
      <c r="IU373" s="40"/>
      <c r="IV373" s="40"/>
      <c r="IW373" s="40"/>
      <c r="IX373" s="40"/>
      <c r="IY373" s="40"/>
      <c r="IZ373" s="40"/>
      <c r="JA373" s="40"/>
      <c r="JB373" s="40"/>
      <c r="JC373" s="40"/>
      <c r="JD373" s="40"/>
      <c r="JE373" s="40"/>
      <c r="JF373" s="40"/>
      <c r="JG373" s="40"/>
      <c r="JH373" s="40"/>
      <c r="JI373" s="40"/>
      <c r="JJ373" s="40"/>
    </row>
    <row r="374" spans="1:270" ht="39.950000000000003" customHeight="1" outlineLevel="1" x14ac:dyDescent="0.3">
      <c r="A374" s="17" t="s">
        <v>487</v>
      </c>
      <c r="B374" s="14" t="s">
        <v>501</v>
      </c>
      <c r="C374" s="9" t="s">
        <v>28</v>
      </c>
      <c r="D374" s="66" t="s">
        <v>502</v>
      </c>
      <c r="E374" s="158">
        <f t="shared" ref="E374:E400" si="76">F374+G374</f>
        <v>180.33174</v>
      </c>
      <c r="F374" s="159">
        <f t="shared" ref="F374:F400" si="77">H374+L374+Q374+Y374+T374+AK374+AP374+AM374+AR374+AU374+AW374+BB374+BJ374</f>
        <v>70.241330000000005</v>
      </c>
      <c r="G374" s="160">
        <f t="shared" ref="G374:G400" si="78">I374+J374+K374+M374+N374+R374+S374+V374+W374+AD374+O374+X374+Z374+AA374+AB374+AC374+AE374+AF374+P374+U374+AG374+AH374+AI374+AO374+AJ374+AL374+AQ374+AN374+AS374+AV374+AX374+AY374+AZ374+BA374+BC374+BD374+BE374+BF374+BG374+BH374+BI374+AT374+BK374+BL374+BN374+BO374+BP374+BQ374+BM374</f>
        <v>110.09040999999999</v>
      </c>
      <c r="H374" s="166"/>
      <c r="I374" s="165"/>
      <c r="J374" s="160"/>
      <c r="K374" s="160"/>
      <c r="L374" s="166">
        <f>50.92984+19.31149</f>
        <v>70.241330000000005</v>
      </c>
      <c r="M374" s="165">
        <f>79.82318+30.26723</f>
        <v>110.09040999999999</v>
      </c>
      <c r="N374" s="165"/>
      <c r="O374" s="165"/>
      <c r="P374" s="160"/>
      <c r="Q374" s="166"/>
      <c r="R374" s="165"/>
      <c r="S374" s="165"/>
      <c r="T374" s="159"/>
      <c r="U374" s="160"/>
      <c r="V374" s="165"/>
      <c r="W374" s="165"/>
      <c r="X374" s="160"/>
      <c r="Y374" s="166"/>
      <c r="Z374" s="160"/>
      <c r="AA374" s="160"/>
      <c r="AB374" s="165"/>
      <c r="AC374" s="165"/>
      <c r="AD374" s="165"/>
      <c r="AE374" s="165"/>
      <c r="AF374" s="160"/>
      <c r="AG374" s="160"/>
      <c r="AH374" s="160"/>
      <c r="AI374" s="160"/>
      <c r="AJ374" s="161"/>
      <c r="AK374" s="162"/>
      <c r="AL374" s="165"/>
      <c r="AM374" s="166"/>
      <c r="AN374" s="165"/>
      <c r="AO374" s="160"/>
      <c r="AP374" s="162"/>
      <c r="AQ374" s="161"/>
      <c r="AR374" s="162"/>
      <c r="AS374" s="161"/>
      <c r="AT374" s="165"/>
      <c r="AU374" s="166"/>
      <c r="AV374" s="165"/>
      <c r="AW374" s="166"/>
      <c r="AX374" s="165"/>
      <c r="AY374" s="165"/>
      <c r="AZ374" s="165"/>
      <c r="BA374" s="165"/>
      <c r="BB374" s="166"/>
      <c r="BC374" s="165"/>
      <c r="BD374" s="165"/>
      <c r="BE374" s="165"/>
      <c r="BF374" s="165"/>
      <c r="BG374" s="165"/>
      <c r="BH374" s="165"/>
      <c r="BI374" s="165"/>
      <c r="BJ374" s="166"/>
      <c r="BK374" s="165"/>
      <c r="BL374" s="165"/>
      <c r="BM374" s="163"/>
      <c r="BN374" s="165"/>
      <c r="BO374" s="165"/>
      <c r="BP374" s="165"/>
      <c r="BQ374" s="167"/>
    </row>
    <row r="375" spans="1:270" ht="39.950000000000003" customHeight="1" outlineLevel="1" x14ac:dyDescent="0.3">
      <c r="A375" s="17" t="s">
        <v>487</v>
      </c>
      <c r="B375" s="14" t="s">
        <v>512</v>
      </c>
      <c r="C375" s="9" t="s">
        <v>28</v>
      </c>
      <c r="D375" s="66" t="s">
        <v>513</v>
      </c>
      <c r="E375" s="158">
        <f t="shared" si="76"/>
        <v>69.370350000000002</v>
      </c>
      <c r="F375" s="159">
        <f t="shared" si="77"/>
        <v>24.083359999999999</v>
      </c>
      <c r="G375" s="160">
        <f t="shared" si="78"/>
        <v>45.286990000000003</v>
      </c>
      <c r="H375" s="166"/>
      <c r="I375" s="165"/>
      <c r="J375" s="160"/>
      <c r="K375" s="160"/>
      <c r="L375" s="166">
        <v>24.083359999999999</v>
      </c>
      <c r="M375" s="165">
        <v>37.74624</v>
      </c>
      <c r="N375" s="165"/>
      <c r="O375" s="165"/>
      <c r="P375" s="160"/>
      <c r="Q375" s="166"/>
      <c r="R375" s="165"/>
      <c r="S375" s="165"/>
      <c r="T375" s="159"/>
      <c r="U375" s="160"/>
      <c r="V375" s="165"/>
      <c r="W375" s="165"/>
      <c r="X375" s="160"/>
      <c r="Y375" s="166"/>
      <c r="Z375" s="160"/>
      <c r="AA375" s="160"/>
      <c r="AB375" s="165"/>
      <c r="AC375" s="165"/>
      <c r="AD375" s="165"/>
      <c r="AE375" s="165"/>
      <c r="AF375" s="160"/>
      <c r="AG375" s="160"/>
      <c r="AH375" s="160"/>
      <c r="AI375" s="160"/>
      <c r="AJ375" s="161"/>
      <c r="AK375" s="162"/>
      <c r="AL375" s="165"/>
      <c r="AM375" s="166"/>
      <c r="AN375" s="165"/>
      <c r="AO375" s="160"/>
      <c r="AP375" s="162"/>
      <c r="AQ375" s="161"/>
      <c r="AR375" s="162"/>
      <c r="AS375" s="161"/>
      <c r="AT375" s="165"/>
      <c r="AU375" s="166"/>
      <c r="AV375" s="165"/>
      <c r="AW375" s="166"/>
      <c r="AX375" s="165"/>
      <c r="AY375" s="165"/>
      <c r="AZ375" s="165"/>
      <c r="BA375" s="165"/>
      <c r="BB375" s="166"/>
      <c r="BC375" s="165"/>
      <c r="BD375" s="165"/>
      <c r="BE375" s="165">
        <v>7.5407500000000001</v>
      </c>
      <c r="BF375" s="165"/>
      <c r="BG375" s="165"/>
      <c r="BH375" s="165"/>
      <c r="BI375" s="165"/>
      <c r="BJ375" s="166"/>
      <c r="BK375" s="165"/>
      <c r="BL375" s="165"/>
      <c r="BM375" s="163"/>
      <c r="BN375" s="165"/>
      <c r="BO375" s="165"/>
      <c r="BP375" s="165"/>
      <c r="BQ375" s="167"/>
    </row>
    <row r="376" spans="1:270" ht="39.950000000000003" customHeight="1" outlineLevel="1" x14ac:dyDescent="0.3">
      <c r="A376" s="17" t="s">
        <v>487</v>
      </c>
      <c r="B376" s="14" t="s">
        <v>1450</v>
      </c>
      <c r="C376" s="9" t="s">
        <v>28</v>
      </c>
      <c r="D376" s="66">
        <v>245009803404</v>
      </c>
      <c r="E376" s="158">
        <f t="shared" si="76"/>
        <v>1441.0131999999999</v>
      </c>
      <c r="F376" s="159">
        <f t="shared" si="77"/>
        <v>252.88681000000003</v>
      </c>
      <c r="G376" s="160">
        <f t="shared" si="78"/>
        <v>1188.1263899999999</v>
      </c>
      <c r="H376" s="166">
        <v>45.160499999999999</v>
      </c>
      <c r="I376" s="165">
        <v>15.0535</v>
      </c>
      <c r="J376" s="160"/>
      <c r="K376" s="160"/>
      <c r="L376" s="166">
        <v>207.72631000000001</v>
      </c>
      <c r="M376" s="165">
        <v>325.57288999999997</v>
      </c>
      <c r="N376" s="165"/>
      <c r="O376" s="165"/>
      <c r="P376" s="160"/>
      <c r="Q376" s="166"/>
      <c r="R376" s="165"/>
      <c r="S376" s="165"/>
      <c r="T376" s="159"/>
      <c r="U376" s="160"/>
      <c r="V376" s="165"/>
      <c r="W376" s="165"/>
      <c r="X376" s="160"/>
      <c r="Y376" s="166"/>
      <c r="Z376" s="160"/>
      <c r="AA376" s="160"/>
      <c r="AB376" s="165"/>
      <c r="AC376" s="165"/>
      <c r="AD376" s="165"/>
      <c r="AE376" s="165"/>
      <c r="AF376" s="160"/>
      <c r="AG376" s="160"/>
      <c r="AH376" s="160"/>
      <c r="AI376" s="160"/>
      <c r="AJ376" s="161"/>
      <c r="AK376" s="162"/>
      <c r="AL376" s="165"/>
      <c r="AM376" s="166"/>
      <c r="AN376" s="165"/>
      <c r="AO376" s="160"/>
      <c r="AP376" s="162"/>
      <c r="AQ376" s="161"/>
      <c r="AR376" s="162"/>
      <c r="AS376" s="161"/>
      <c r="AT376" s="165"/>
      <c r="AU376" s="166"/>
      <c r="AV376" s="165"/>
      <c r="AW376" s="166"/>
      <c r="AX376" s="165"/>
      <c r="AY376" s="165"/>
      <c r="AZ376" s="165"/>
      <c r="BA376" s="165"/>
      <c r="BB376" s="166"/>
      <c r="BC376" s="165"/>
      <c r="BD376" s="165"/>
      <c r="BE376" s="165"/>
      <c r="BF376" s="165"/>
      <c r="BG376" s="165"/>
      <c r="BH376" s="165">
        <v>847.5</v>
      </c>
      <c r="BI376" s="165"/>
      <c r="BJ376" s="166"/>
      <c r="BK376" s="165"/>
      <c r="BL376" s="165"/>
      <c r="BM376" s="163"/>
      <c r="BN376" s="165"/>
      <c r="BO376" s="165"/>
      <c r="BP376" s="165"/>
      <c r="BQ376" s="167"/>
    </row>
    <row r="377" spans="1:270" ht="39.950000000000003" customHeight="1" outlineLevel="1" x14ac:dyDescent="0.3">
      <c r="A377" s="17" t="s">
        <v>487</v>
      </c>
      <c r="B377" s="14" t="s">
        <v>509</v>
      </c>
      <c r="C377" s="9" t="s">
        <v>30</v>
      </c>
      <c r="D377" s="66" t="s">
        <v>510</v>
      </c>
      <c r="E377" s="158">
        <f t="shared" si="76"/>
        <v>418.30770999999999</v>
      </c>
      <c r="F377" s="159">
        <f t="shared" si="77"/>
        <v>162.93576999999999</v>
      </c>
      <c r="G377" s="160">
        <f t="shared" si="78"/>
        <v>255.37194</v>
      </c>
      <c r="H377" s="166"/>
      <c r="I377" s="165"/>
      <c r="J377" s="160"/>
      <c r="K377" s="160"/>
      <c r="L377" s="166">
        <v>162.93576999999999</v>
      </c>
      <c r="M377" s="165">
        <v>255.37194</v>
      </c>
      <c r="N377" s="165"/>
      <c r="O377" s="165"/>
      <c r="P377" s="160"/>
      <c r="Q377" s="166"/>
      <c r="R377" s="165"/>
      <c r="S377" s="165"/>
      <c r="T377" s="159"/>
      <c r="U377" s="160"/>
      <c r="V377" s="165"/>
      <c r="W377" s="165"/>
      <c r="X377" s="160"/>
      <c r="Y377" s="166"/>
      <c r="Z377" s="160"/>
      <c r="AA377" s="160"/>
      <c r="AB377" s="165"/>
      <c r="AC377" s="165"/>
      <c r="AD377" s="165"/>
      <c r="AE377" s="165"/>
      <c r="AF377" s="160"/>
      <c r="AG377" s="160"/>
      <c r="AH377" s="160"/>
      <c r="AI377" s="160"/>
      <c r="AJ377" s="161"/>
      <c r="AK377" s="162"/>
      <c r="AL377" s="165"/>
      <c r="AM377" s="166"/>
      <c r="AN377" s="165"/>
      <c r="AO377" s="160"/>
      <c r="AP377" s="162"/>
      <c r="AQ377" s="161"/>
      <c r="AR377" s="162"/>
      <c r="AS377" s="161"/>
      <c r="AT377" s="165"/>
      <c r="AU377" s="166"/>
      <c r="AV377" s="165"/>
      <c r="AW377" s="166"/>
      <c r="AX377" s="165"/>
      <c r="AY377" s="165"/>
      <c r="AZ377" s="165"/>
      <c r="BA377" s="165"/>
      <c r="BB377" s="166"/>
      <c r="BC377" s="165"/>
      <c r="BD377" s="165"/>
      <c r="BE377" s="165"/>
      <c r="BF377" s="165"/>
      <c r="BG377" s="165"/>
      <c r="BH377" s="165"/>
      <c r="BI377" s="165"/>
      <c r="BJ377" s="166"/>
      <c r="BK377" s="165"/>
      <c r="BL377" s="165"/>
      <c r="BM377" s="163"/>
      <c r="BN377" s="165"/>
      <c r="BO377" s="165"/>
      <c r="BP377" s="165"/>
      <c r="BQ377" s="167"/>
    </row>
    <row r="378" spans="1:270" ht="39.950000000000003" customHeight="1" outlineLevel="1" x14ac:dyDescent="0.3">
      <c r="A378" s="17" t="s">
        <v>487</v>
      </c>
      <c r="B378" s="14" t="s">
        <v>511</v>
      </c>
      <c r="C378" s="25" t="s">
        <v>30</v>
      </c>
      <c r="D378" s="66">
        <v>245000947698</v>
      </c>
      <c r="E378" s="158">
        <f t="shared" si="76"/>
        <v>84.207279999999997</v>
      </c>
      <c r="F378" s="159">
        <f t="shared" si="77"/>
        <v>40.32246</v>
      </c>
      <c r="G378" s="160">
        <f t="shared" si="78"/>
        <v>43.884819999999998</v>
      </c>
      <c r="H378" s="166">
        <v>15.65113</v>
      </c>
      <c r="I378" s="165">
        <v>5.2170399999999999</v>
      </c>
      <c r="J378" s="160"/>
      <c r="K378" s="160"/>
      <c r="L378" s="166">
        <v>24.671330000000001</v>
      </c>
      <c r="M378" s="165">
        <v>38.66778</v>
      </c>
      <c r="N378" s="165"/>
      <c r="O378" s="165"/>
      <c r="P378" s="160"/>
      <c r="Q378" s="166"/>
      <c r="R378" s="165"/>
      <c r="S378" s="165"/>
      <c r="T378" s="159"/>
      <c r="U378" s="160"/>
      <c r="V378" s="165"/>
      <c r="W378" s="165"/>
      <c r="X378" s="160"/>
      <c r="Y378" s="166"/>
      <c r="Z378" s="160"/>
      <c r="AA378" s="160"/>
      <c r="AB378" s="165"/>
      <c r="AC378" s="165"/>
      <c r="AD378" s="165"/>
      <c r="AE378" s="165"/>
      <c r="AF378" s="160"/>
      <c r="AG378" s="160"/>
      <c r="AH378" s="160"/>
      <c r="AI378" s="160"/>
      <c r="AJ378" s="161"/>
      <c r="AK378" s="162"/>
      <c r="AL378" s="165"/>
      <c r="AM378" s="166"/>
      <c r="AN378" s="165"/>
      <c r="AO378" s="160"/>
      <c r="AP378" s="162"/>
      <c r="AQ378" s="161"/>
      <c r="AR378" s="162"/>
      <c r="AS378" s="161"/>
      <c r="AT378" s="165"/>
      <c r="AU378" s="166"/>
      <c r="AV378" s="165"/>
      <c r="AW378" s="166"/>
      <c r="AX378" s="165"/>
      <c r="AY378" s="165"/>
      <c r="AZ378" s="165"/>
      <c r="BA378" s="165"/>
      <c r="BB378" s="166"/>
      <c r="BC378" s="165"/>
      <c r="BD378" s="165"/>
      <c r="BE378" s="165"/>
      <c r="BF378" s="165"/>
      <c r="BG378" s="165"/>
      <c r="BH378" s="165"/>
      <c r="BI378" s="165"/>
      <c r="BJ378" s="166"/>
      <c r="BK378" s="165"/>
      <c r="BL378" s="165"/>
      <c r="BM378" s="163"/>
      <c r="BN378" s="165"/>
      <c r="BO378" s="165"/>
      <c r="BP378" s="165"/>
      <c r="BQ378" s="167"/>
    </row>
    <row r="379" spans="1:270" ht="39.950000000000003" customHeight="1" outlineLevel="1" x14ac:dyDescent="0.3">
      <c r="A379" s="17" t="s">
        <v>487</v>
      </c>
      <c r="B379" s="14" t="s">
        <v>514</v>
      </c>
      <c r="C379" s="9" t="s">
        <v>30</v>
      </c>
      <c r="D379" s="72">
        <v>245007248441</v>
      </c>
      <c r="E379" s="158">
        <f t="shared" si="76"/>
        <v>44.610489999999999</v>
      </c>
      <c r="F379" s="159">
        <f t="shared" si="77"/>
        <v>17.37631</v>
      </c>
      <c r="G379" s="160">
        <f t="shared" si="78"/>
        <v>27.234179999999999</v>
      </c>
      <c r="H379" s="166"/>
      <c r="I379" s="165"/>
      <c r="J379" s="160"/>
      <c r="K379" s="160"/>
      <c r="L379" s="166">
        <v>17.37631</v>
      </c>
      <c r="M379" s="165">
        <v>27.234179999999999</v>
      </c>
      <c r="N379" s="165"/>
      <c r="O379" s="165"/>
      <c r="P379" s="160"/>
      <c r="Q379" s="166"/>
      <c r="R379" s="165"/>
      <c r="S379" s="165"/>
      <c r="T379" s="159"/>
      <c r="U379" s="160"/>
      <c r="V379" s="165"/>
      <c r="W379" s="165"/>
      <c r="X379" s="160"/>
      <c r="Y379" s="166"/>
      <c r="Z379" s="160"/>
      <c r="AA379" s="160"/>
      <c r="AB379" s="165"/>
      <c r="AC379" s="165"/>
      <c r="AD379" s="165"/>
      <c r="AE379" s="165"/>
      <c r="AF379" s="160"/>
      <c r="AG379" s="160"/>
      <c r="AH379" s="160"/>
      <c r="AI379" s="160"/>
      <c r="AJ379" s="161"/>
      <c r="AK379" s="162"/>
      <c r="AL379" s="165"/>
      <c r="AM379" s="166"/>
      <c r="AN379" s="165"/>
      <c r="AO379" s="160"/>
      <c r="AP379" s="162"/>
      <c r="AQ379" s="161"/>
      <c r="AR379" s="162"/>
      <c r="AS379" s="161"/>
      <c r="AT379" s="165"/>
      <c r="AU379" s="166"/>
      <c r="AV379" s="165"/>
      <c r="AW379" s="166"/>
      <c r="AX379" s="165"/>
      <c r="AY379" s="165"/>
      <c r="AZ379" s="165"/>
      <c r="BA379" s="165"/>
      <c r="BB379" s="166"/>
      <c r="BC379" s="165"/>
      <c r="BD379" s="165"/>
      <c r="BE379" s="165"/>
      <c r="BF379" s="165"/>
      <c r="BG379" s="165"/>
      <c r="BH379" s="165"/>
      <c r="BI379" s="165"/>
      <c r="BJ379" s="166"/>
      <c r="BK379" s="165"/>
      <c r="BL379" s="165"/>
      <c r="BM379" s="163"/>
      <c r="BN379" s="165"/>
      <c r="BO379" s="165"/>
      <c r="BP379" s="165"/>
      <c r="BQ379" s="167"/>
    </row>
    <row r="380" spans="1:270" ht="39.950000000000003" customHeight="1" outlineLevel="1" x14ac:dyDescent="0.3">
      <c r="A380" s="15" t="s">
        <v>487</v>
      </c>
      <c r="B380" s="14" t="s">
        <v>505</v>
      </c>
      <c r="C380" s="9" t="s">
        <v>30</v>
      </c>
      <c r="D380" s="80">
        <v>241800029107</v>
      </c>
      <c r="E380" s="158">
        <f t="shared" si="76"/>
        <v>280.54590999999999</v>
      </c>
      <c r="F380" s="159">
        <f t="shared" si="77"/>
        <v>151.70214999999999</v>
      </c>
      <c r="G380" s="160">
        <f t="shared" si="78"/>
        <v>128.84376</v>
      </c>
      <c r="H380" s="166">
        <v>88.268249999999995</v>
      </c>
      <c r="I380" s="165">
        <v>29.422750000000001</v>
      </c>
      <c r="J380" s="160"/>
      <c r="K380" s="160"/>
      <c r="L380" s="166">
        <v>63.433900000000001</v>
      </c>
      <c r="M380" s="165">
        <v>99.421009999999995</v>
      </c>
      <c r="N380" s="165"/>
      <c r="O380" s="165"/>
      <c r="P380" s="160"/>
      <c r="Q380" s="166"/>
      <c r="R380" s="165"/>
      <c r="S380" s="165"/>
      <c r="T380" s="159"/>
      <c r="U380" s="160"/>
      <c r="V380" s="165"/>
      <c r="W380" s="165"/>
      <c r="X380" s="160"/>
      <c r="Y380" s="166"/>
      <c r="Z380" s="160"/>
      <c r="AA380" s="160"/>
      <c r="AB380" s="165"/>
      <c r="AC380" s="165"/>
      <c r="AD380" s="165"/>
      <c r="AE380" s="165"/>
      <c r="AF380" s="160"/>
      <c r="AG380" s="160"/>
      <c r="AH380" s="160"/>
      <c r="AI380" s="160"/>
      <c r="AJ380" s="161"/>
      <c r="AK380" s="162"/>
      <c r="AL380" s="165"/>
      <c r="AM380" s="166"/>
      <c r="AN380" s="165"/>
      <c r="AO380" s="160"/>
      <c r="AP380" s="162"/>
      <c r="AQ380" s="161"/>
      <c r="AR380" s="162"/>
      <c r="AS380" s="161"/>
      <c r="AT380" s="165"/>
      <c r="AU380" s="166"/>
      <c r="AV380" s="165"/>
      <c r="AW380" s="166"/>
      <c r="AX380" s="165"/>
      <c r="AY380" s="165"/>
      <c r="AZ380" s="165"/>
      <c r="BA380" s="165"/>
      <c r="BB380" s="166"/>
      <c r="BC380" s="165"/>
      <c r="BD380" s="165"/>
      <c r="BE380" s="165"/>
      <c r="BF380" s="165"/>
      <c r="BG380" s="165"/>
      <c r="BH380" s="165"/>
      <c r="BI380" s="165"/>
      <c r="BJ380" s="166"/>
      <c r="BK380" s="165"/>
      <c r="BL380" s="165"/>
      <c r="BM380" s="163"/>
      <c r="BN380" s="165"/>
      <c r="BO380" s="165"/>
      <c r="BP380" s="165"/>
      <c r="BQ380" s="167"/>
    </row>
    <row r="381" spans="1:270" ht="39.950000000000003" customHeight="1" outlineLevel="1" x14ac:dyDescent="0.3">
      <c r="A381" s="15" t="s">
        <v>487</v>
      </c>
      <c r="B381" s="14" t="s">
        <v>503</v>
      </c>
      <c r="C381" s="9" t="s">
        <v>30</v>
      </c>
      <c r="D381" s="66" t="s">
        <v>504</v>
      </c>
      <c r="E381" s="158">
        <f t="shared" si="76"/>
        <v>141.64798999999999</v>
      </c>
      <c r="F381" s="159">
        <f t="shared" si="77"/>
        <v>30.406179999999999</v>
      </c>
      <c r="G381" s="160">
        <f t="shared" si="78"/>
        <v>111.24181</v>
      </c>
      <c r="H381" s="166"/>
      <c r="I381" s="165"/>
      <c r="J381" s="160"/>
      <c r="K381" s="160"/>
      <c r="L381" s="166">
        <v>30.406179999999999</v>
      </c>
      <c r="M381" s="165">
        <v>47.656120000000001</v>
      </c>
      <c r="N381" s="165"/>
      <c r="O381" s="165"/>
      <c r="P381" s="160"/>
      <c r="Q381" s="166"/>
      <c r="R381" s="165"/>
      <c r="S381" s="165"/>
      <c r="T381" s="159"/>
      <c r="U381" s="160"/>
      <c r="V381" s="165"/>
      <c r="W381" s="165"/>
      <c r="X381" s="160"/>
      <c r="Y381" s="166"/>
      <c r="Z381" s="160"/>
      <c r="AA381" s="160"/>
      <c r="AB381" s="165"/>
      <c r="AC381" s="165"/>
      <c r="AD381" s="165"/>
      <c r="AE381" s="165"/>
      <c r="AF381" s="160"/>
      <c r="AG381" s="160"/>
      <c r="AH381" s="160"/>
      <c r="AI381" s="160"/>
      <c r="AJ381" s="161"/>
      <c r="AK381" s="162"/>
      <c r="AL381" s="165"/>
      <c r="AM381" s="166"/>
      <c r="AN381" s="165"/>
      <c r="AO381" s="160"/>
      <c r="AP381" s="162"/>
      <c r="AQ381" s="161"/>
      <c r="AR381" s="162"/>
      <c r="AS381" s="161"/>
      <c r="AT381" s="165"/>
      <c r="AU381" s="166"/>
      <c r="AV381" s="165"/>
      <c r="AW381" s="166"/>
      <c r="AX381" s="165"/>
      <c r="AY381" s="165"/>
      <c r="AZ381" s="165"/>
      <c r="BA381" s="165"/>
      <c r="BB381" s="166"/>
      <c r="BC381" s="165"/>
      <c r="BD381" s="165"/>
      <c r="BE381" s="165">
        <v>63.58569</v>
      </c>
      <c r="BF381" s="165"/>
      <c r="BG381" s="165"/>
      <c r="BH381" s="165"/>
      <c r="BI381" s="165"/>
      <c r="BJ381" s="166"/>
      <c r="BK381" s="165"/>
      <c r="BL381" s="165"/>
      <c r="BM381" s="163"/>
      <c r="BN381" s="165"/>
      <c r="BO381" s="165"/>
      <c r="BP381" s="165"/>
      <c r="BQ381" s="167"/>
    </row>
    <row r="382" spans="1:270" ht="39.950000000000003" customHeight="1" outlineLevel="1" x14ac:dyDescent="0.3">
      <c r="A382" s="15" t="s">
        <v>487</v>
      </c>
      <c r="B382" s="14" t="s">
        <v>506</v>
      </c>
      <c r="C382" s="9" t="s">
        <v>30</v>
      </c>
      <c r="D382" s="66" t="s">
        <v>507</v>
      </c>
      <c r="E382" s="158">
        <f t="shared" si="76"/>
        <v>72.157929999999993</v>
      </c>
      <c r="F382" s="159">
        <f t="shared" si="77"/>
        <v>28.106359999999999</v>
      </c>
      <c r="G382" s="160">
        <f t="shared" si="78"/>
        <v>44.051569999999998</v>
      </c>
      <c r="H382" s="166"/>
      <c r="I382" s="165"/>
      <c r="J382" s="160"/>
      <c r="K382" s="160"/>
      <c r="L382" s="166">
        <f>18.3006+9.80576</f>
        <v>28.106359999999999</v>
      </c>
      <c r="M382" s="165">
        <f>28.68283+15.36874</f>
        <v>44.051569999999998</v>
      </c>
      <c r="N382" s="165"/>
      <c r="O382" s="165"/>
      <c r="P382" s="160"/>
      <c r="Q382" s="166"/>
      <c r="R382" s="165"/>
      <c r="S382" s="165"/>
      <c r="T382" s="159"/>
      <c r="U382" s="160"/>
      <c r="V382" s="165"/>
      <c r="W382" s="165"/>
      <c r="X382" s="160"/>
      <c r="Y382" s="166"/>
      <c r="Z382" s="160"/>
      <c r="AA382" s="160"/>
      <c r="AB382" s="165"/>
      <c r="AC382" s="165"/>
      <c r="AD382" s="165"/>
      <c r="AE382" s="165"/>
      <c r="AF382" s="160"/>
      <c r="AG382" s="160"/>
      <c r="AH382" s="160"/>
      <c r="AI382" s="160"/>
      <c r="AJ382" s="161"/>
      <c r="AK382" s="162"/>
      <c r="AL382" s="165"/>
      <c r="AM382" s="166"/>
      <c r="AN382" s="165"/>
      <c r="AO382" s="160"/>
      <c r="AP382" s="162"/>
      <c r="AQ382" s="161"/>
      <c r="AR382" s="162"/>
      <c r="AS382" s="161"/>
      <c r="AT382" s="165"/>
      <c r="AU382" s="166"/>
      <c r="AV382" s="165"/>
      <c r="AW382" s="166"/>
      <c r="AX382" s="165"/>
      <c r="AY382" s="165"/>
      <c r="AZ382" s="165"/>
      <c r="BA382" s="165"/>
      <c r="BB382" s="166"/>
      <c r="BC382" s="165"/>
      <c r="BD382" s="165"/>
      <c r="BE382" s="165"/>
      <c r="BF382" s="165"/>
      <c r="BG382" s="165"/>
      <c r="BH382" s="165"/>
      <c r="BI382" s="165"/>
      <c r="BJ382" s="166"/>
      <c r="BK382" s="165"/>
      <c r="BL382" s="165"/>
      <c r="BM382" s="163"/>
      <c r="BN382" s="165"/>
      <c r="BO382" s="165"/>
      <c r="BP382" s="165"/>
      <c r="BQ382" s="167"/>
    </row>
    <row r="383" spans="1:270" ht="39.950000000000003" customHeight="1" outlineLevel="1" x14ac:dyDescent="0.3">
      <c r="A383" s="17" t="s">
        <v>487</v>
      </c>
      <c r="B383" s="14" t="s">
        <v>1340</v>
      </c>
      <c r="C383" s="9" t="s">
        <v>30</v>
      </c>
      <c r="D383" s="66">
        <v>245010816503</v>
      </c>
      <c r="E383" s="158">
        <f t="shared" si="76"/>
        <v>136.97714999999999</v>
      </c>
      <c r="F383" s="159">
        <f t="shared" si="77"/>
        <v>67.868790000000004</v>
      </c>
      <c r="G383" s="160">
        <f t="shared" si="78"/>
        <v>69.108360000000005</v>
      </c>
      <c r="H383" s="166">
        <v>30.19774</v>
      </c>
      <c r="I383" s="165">
        <v>10.065910000000001</v>
      </c>
      <c r="J383" s="160"/>
      <c r="K383" s="160"/>
      <c r="L383" s="166">
        <v>37.671050000000001</v>
      </c>
      <c r="M383" s="165">
        <v>59.042450000000002</v>
      </c>
      <c r="N383" s="165"/>
      <c r="O383" s="165"/>
      <c r="P383" s="160"/>
      <c r="Q383" s="166"/>
      <c r="R383" s="165"/>
      <c r="S383" s="165"/>
      <c r="T383" s="159"/>
      <c r="U383" s="160"/>
      <c r="V383" s="165"/>
      <c r="W383" s="165"/>
      <c r="X383" s="160"/>
      <c r="Y383" s="166"/>
      <c r="Z383" s="160"/>
      <c r="AA383" s="160"/>
      <c r="AB383" s="165"/>
      <c r="AC383" s="165"/>
      <c r="AD383" s="165"/>
      <c r="AE383" s="165"/>
      <c r="AF383" s="160"/>
      <c r="AG383" s="160"/>
      <c r="AH383" s="160"/>
      <c r="AI383" s="160"/>
      <c r="AJ383" s="161"/>
      <c r="AK383" s="162"/>
      <c r="AL383" s="165"/>
      <c r="AM383" s="166"/>
      <c r="AN383" s="165"/>
      <c r="AO383" s="160"/>
      <c r="AP383" s="162"/>
      <c r="AQ383" s="161"/>
      <c r="AR383" s="162"/>
      <c r="AS383" s="161"/>
      <c r="AT383" s="165"/>
      <c r="AU383" s="166"/>
      <c r="AV383" s="165"/>
      <c r="AW383" s="166"/>
      <c r="AX383" s="165"/>
      <c r="AY383" s="165"/>
      <c r="AZ383" s="165"/>
      <c r="BA383" s="165"/>
      <c r="BB383" s="166"/>
      <c r="BC383" s="165"/>
      <c r="BD383" s="165"/>
      <c r="BE383" s="165"/>
      <c r="BF383" s="165"/>
      <c r="BG383" s="165"/>
      <c r="BH383" s="165"/>
      <c r="BI383" s="165"/>
      <c r="BJ383" s="166"/>
      <c r="BK383" s="165"/>
      <c r="BL383" s="165"/>
      <c r="BM383" s="163"/>
      <c r="BN383" s="165"/>
      <c r="BO383" s="165"/>
      <c r="BP383" s="165"/>
      <c r="BQ383" s="167"/>
    </row>
    <row r="384" spans="1:270" ht="39.950000000000003" customHeight="1" outlineLevel="1" x14ac:dyDescent="0.3">
      <c r="A384" s="17" t="s">
        <v>487</v>
      </c>
      <c r="B384" s="14" t="s">
        <v>1277</v>
      </c>
      <c r="C384" s="9" t="s">
        <v>30</v>
      </c>
      <c r="D384" s="72">
        <v>245002182910</v>
      </c>
      <c r="E384" s="158">
        <f t="shared" si="76"/>
        <v>104.92104</v>
      </c>
      <c r="F384" s="159">
        <f t="shared" si="77"/>
        <v>40.867980000000003</v>
      </c>
      <c r="G384" s="160">
        <f t="shared" si="78"/>
        <v>64.053060000000002</v>
      </c>
      <c r="H384" s="166"/>
      <c r="I384" s="165"/>
      <c r="J384" s="160"/>
      <c r="K384" s="160"/>
      <c r="L384" s="166">
        <v>40.867980000000003</v>
      </c>
      <c r="M384" s="165">
        <v>64.053060000000002</v>
      </c>
      <c r="N384" s="165"/>
      <c r="O384" s="165"/>
      <c r="P384" s="160"/>
      <c r="Q384" s="166"/>
      <c r="R384" s="165"/>
      <c r="S384" s="165"/>
      <c r="T384" s="159"/>
      <c r="U384" s="160"/>
      <c r="V384" s="165"/>
      <c r="W384" s="165"/>
      <c r="X384" s="160"/>
      <c r="Y384" s="166"/>
      <c r="Z384" s="160"/>
      <c r="AA384" s="160"/>
      <c r="AB384" s="165"/>
      <c r="AC384" s="165"/>
      <c r="AD384" s="165"/>
      <c r="AE384" s="165"/>
      <c r="AF384" s="160"/>
      <c r="AG384" s="160"/>
      <c r="AH384" s="160"/>
      <c r="AI384" s="160"/>
      <c r="AJ384" s="161"/>
      <c r="AK384" s="162"/>
      <c r="AL384" s="165"/>
      <c r="AM384" s="166"/>
      <c r="AN384" s="165"/>
      <c r="AO384" s="160"/>
      <c r="AP384" s="162"/>
      <c r="AQ384" s="161"/>
      <c r="AR384" s="162"/>
      <c r="AS384" s="161"/>
      <c r="AT384" s="165"/>
      <c r="AU384" s="166"/>
      <c r="AV384" s="165"/>
      <c r="AW384" s="166"/>
      <c r="AX384" s="165"/>
      <c r="AY384" s="165"/>
      <c r="AZ384" s="165"/>
      <c r="BA384" s="165"/>
      <c r="BB384" s="166"/>
      <c r="BC384" s="165"/>
      <c r="BD384" s="165"/>
      <c r="BE384" s="165"/>
      <c r="BF384" s="165"/>
      <c r="BG384" s="165"/>
      <c r="BH384" s="165"/>
      <c r="BI384" s="165"/>
      <c r="BJ384" s="166"/>
      <c r="BK384" s="165"/>
      <c r="BL384" s="165"/>
      <c r="BM384" s="163"/>
      <c r="BN384" s="165"/>
      <c r="BO384" s="165"/>
      <c r="BP384" s="165"/>
      <c r="BQ384" s="167"/>
    </row>
    <row r="385" spans="1:69" ht="39.950000000000003" customHeight="1" outlineLevel="1" x14ac:dyDescent="0.3">
      <c r="A385" s="17" t="s">
        <v>487</v>
      </c>
      <c r="B385" s="14" t="s">
        <v>515</v>
      </c>
      <c r="C385" s="9" t="s">
        <v>30</v>
      </c>
      <c r="D385" s="72">
        <v>245009735761</v>
      </c>
      <c r="E385" s="158">
        <f t="shared" si="76"/>
        <v>324.22665000000001</v>
      </c>
      <c r="F385" s="159">
        <f t="shared" si="77"/>
        <v>126.29009000000001</v>
      </c>
      <c r="G385" s="160">
        <f t="shared" si="78"/>
        <v>197.93655999999999</v>
      </c>
      <c r="H385" s="166"/>
      <c r="I385" s="165"/>
      <c r="J385" s="160"/>
      <c r="K385" s="160"/>
      <c r="L385" s="166">
        <v>126.29009000000001</v>
      </c>
      <c r="M385" s="165">
        <v>197.93655999999999</v>
      </c>
      <c r="N385" s="165"/>
      <c r="O385" s="165"/>
      <c r="P385" s="160"/>
      <c r="Q385" s="166"/>
      <c r="R385" s="165"/>
      <c r="S385" s="165"/>
      <c r="T385" s="159"/>
      <c r="U385" s="160"/>
      <c r="V385" s="165"/>
      <c r="W385" s="165"/>
      <c r="X385" s="160"/>
      <c r="Y385" s="166"/>
      <c r="Z385" s="160"/>
      <c r="AA385" s="160"/>
      <c r="AB385" s="165"/>
      <c r="AC385" s="165"/>
      <c r="AD385" s="165"/>
      <c r="AE385" s="165"/>
      <c r="AF385" s="160"/>
      <c r="AG385" s="160"/>
      <c r="AH385" s="160"/>
      <c r="AI385" s="160"/>
      <c r="AJ385" s="161"/>
      <c r="AK385" s="162"/>
      <c r="AL385" s="165"/>
      <c r="AM385" s="166"/>
      <c r="AN385" s="165"/>
      <c r="AO385" s="160"/>
      <c r="AP385" s="162"/>
      <c r="AQ385" s="161"/>
      <c r="AR385" s="162"/>
      <c r="AS385" s="161"/>
      <c r="AT385" s="165"/>
      <c r="AU385" s="166"/>
      <c r="AV385" s="165"/>
      <c r="AW385" s="166"/>
      <c r="AX385" s="165"/>
      <c r="AY385" s="165"/>
      <c r="AZ385" s="165"/>
      <c r="BA385" s="165"/>
      <c r="BB385" s="166"/>
      <c r="BC385" s="165"/>
      <c r="BD385" s="165"/>
      <c r="BE385" s="165"/>
      <c r="BF385" s="165"/>
      <c r="BG385" s="165"/>
      <c r="BH385" s="165"/>
      <c r="BI385" s="165"/>
      <c r="BJ385" s="166"/>
      <c r="BK385" s="165"/>
      <c r="BL385" s="165"/>
      <c r="BM385" s="163"/>
      <c r="BN385" s="165"/>
      <c r="BO385" s="165"/>
      <c r="BP385" s="165"/>
      <c r="BQ385" s="167"/>
    </row>
    <row r="386" spans="1:69" ht="39.950000000000003" customHeight="1" outlineLevel="1" x14ac:dyDescent="0.3">
      <c r="A386" s="17" t="s">
        <v>487</v>
      </c>
      <c r="B386" s="14" t="s">
        <v>508</v>
      </c>
      <c r="C386" s="9" t="s">
        <v>30</v>
      </c>
      <c r="D386" s="66">
        <v>245009119402</v>
      </c>
      <c r="E386" s="158">
        <f t="shared" si="76"/>
        <v>451.00187</v>
      </c>
      <c r="F386" s="159">
        <f t="shared" si="77"/>
        <v>194.12457000000001</v>
      </c>
      <c r="G386" s="160">
        <f t="shared" si="78"/>
        <v>256.87729999999999</v>
      </c>
      <c r="H386" s="166">
        <v>71.376459999999994</v>
      </c>
      <c r="I386" s="165">
        <v>23.792159999999999</v>
      </c>
      <c r="J386" s="160"/>
      <c r="K386" s="160"/>
      <c r="L386" s="166">
        <v>122.74811</v>
      </c>
      <c r="M386" s="165">
        <v>192.38514000000001</v>
      </c>
      <c r="N386" s="165"/>
      <c r="O386" s="165"/>
      <c r="P386" s="160"/>
      <c r="Q386" s="166"/>
      <c r="R386" s="165"/>
      <c r="S386" s="165"/>
      <c r="T386" s="159"/>
      <c r="U386" s="160"/>
      <c r="V386" s="165"/>
      <c r="W386" s="165"/>
      <c r="X386" s="160"/>
      <c r="Y386" s="166"/>
      <c r="Z386" s="160"/>
      <c r="AA386" s="160"/>
      <c r="AB386" s="165"/>
      <c r="AC386" s="165"/>
      <c r="AD386" s="165"/>
      <c r="AE386" s="165"/>
      <c r="AF386" s="160"/>
      <c r="AG386" s="160"/>
      <c r="AH386" s="160"/>
      <c r="AI386" s="160"/>
      <c r="AJ386" s="161"/>
      <c r="AK386" s="162"/>
      <c r="AL386" s="165"/>
      <c r="AM386" s="166"/>
      <c r="AN386" s="165"/>
      <c r="AO386" s="160"/>
      <c r="AP386" s="162"/>
      <c r="AQ386" s="161"/>
      <c r="AR386" s="162"/>
      <c r="AS386" s="161"/>
      <c r="AT386" s="165"/>
      <c r="AU386" s="166"/>
      <c r="AV386" s="165"/>
      <c r="AW386" s="166"/>
      <c r="AX386" s="165"/>
      <c r="AY386" s="165"/>
      <c r="AZ386" s="165"/>
      <c r="BA386" s="165"/>
      <c r="BB386" s="166"/>
      <c r="BC386" s="165"/>
      <c r="BD386" s="165"/>
      <c r="BE386" s="165"/>
      <c r="BF386" s="165"/>
      <c r="BG386" s="165">
        <v>40.700000000000003</v>
      </c>
      <c r="BH386" s="165"/>
      <c r="BI386" s="165"/>
      <c r="BJ386" s="166"/>
      <c r="BK386" s="165"/>
      <c r="BL386" s="165"/>
      <c r="BM386" s="163"/>
      <c r="BN386" s="165"/>
      <c r="BO386" s="165"/>
      <c r="BP386" s="165"/>
      <c r="BQ386" s="167"/>
    </row>
    <row r="387" spans="1:69" ht="39.950000000000003" customHeight="1" outlineLevel="1" x14ac:dyDescent="0.3">
      <c r="A387" s="15" t="s">
        <v>487</v>
      </c>
      <c r="B387" s="14" t="s">
        <v>521</v>
      </c>
      <c r="C387" s="9" t="s">
        <v>30</v>
      </c>
      <c r="D387" s="66" t="s">
        <v>522</v>
      </c>
      <c r="E387" s="158">
        <f t="shared" si="76"/>
        <v>214.41886</v>
      </c>
      <c r="F387" s="159">
        <f t="shared" si="77"/>
        <v>83.51867</v>
      </c>
      <c r="G387" s="160">
        <f t="shared" si="78"/>
        <v>130.90019000000001</v>
      </c>
      <c r="H387" s="166"/>
      <c r="I387" s="165"/>
      <c r="J387" s="160"/>
      <c r="K387" s="160"/>
      <c r="L387" s="166">
        <v>83.51867</v>
      </c>
      <c r="M387" s="165">
        <v>130.90019000000001</v>
      </c>
      <c r="N387" s="165"/>
      <c r="O387" s="165"/>
      <c r="P387" s="160"/>
      <c r="Q387" s="166"/>
      <c r="R387" s="165"/>
      <c r="S387" s="165"/>
      <c r="T387" s="159"/>
      <c r="U387" s="160"/>
      <c r="V387" s="165"/>
      <c r="W387" s="165"/>
      <c r="X387" s="160"/>
      <c r="Y387" s="166"/>
      <c r="Z387" s="160"/>
      <c r="AA387" s="160"/>
      <c r="AB387" s="165"/>
      <c r="AC387" s="165"/>
      <c r="AD387" s="165"/>
      <c r="AE387" s="165"/>
      <c r="AF387" s="160"/>
      <c r="AG387" s="160"/>
      <c r="AH387" s="160"/>
      <c r="AI387" s="160"/>
      <c r="AJ387" s="161"/>
      <c r="AK387" s="162"/>
      <c r="AL387" s="165"/>
      <c r="AM387" s="166"/>
      <c r="AN387" s="165"/>
      <c r="AO387" s="160"/>
      <c r="AP387" s="162"/>
      <c r="AQ387" s="161"/>
      <c r="AR387" s="162"/>
      <c r="AS387" s="161"/>
      <c r="AT387" s="165"/>
      <c r="AU387" s="166"/>
      <c r="AV387" s="165"/>
      <c r="AW387" s="166"/>
      <c r="AX387" s="165"/>
      <c r="AY387" s="165"/>
      <c r="AZ387" s="165"/>
      <c r="BA387" s="165"/>
      <c r="BB387" s="166"/>
      <c r="BC387" s="165"/>
      <c r="BD387" s="165"/>
      <c r="BE387" s="165"/>
      <c r="BF387" s="165"/>
      <c r="BG387" s="165"/>
      <c r="BH387" s="165"/>
      <c r="BI387" s="165"/>
      <c r="BJ387" s="166"/>
      <c r="BK387" s="165"/>
      <c r="BL387" s="165"/>
      <c r="BM387" s="163"/>
      <c r="BN387" s="165"/>
      <c r="BO387" s="165"/>
      <c r="BP387" s="165"/>
      <c r="BQ387" s="167"/>
    </row>
    <row r="388" spans="1:69" ht="39.950000000000003" customHeight="1" outlineLevel="1" x14ac:dyDescent="0.3">
      <c r="A388" s="17" t="s">
        <v>487</v>
      </c>
      <c r="B388" s="14" t="s">
        <v>518</v>
      </c>
      <c r="C388" s="9" t="s">
        <v>30</v>
      </c>
      <c r="D388" s="66" t="s">
        <v>519</v>
      </c>
      <c r="E388" s="158">
        <f t="shared" si="76"/>
        <v>267.69826</v>
      </c>
      <c r="F388" s="159">
        <f t="shared" si="77"/>
        <v>104.27162</v>
      </c>
      <c r="G388" s="160">
        <f t="shared" si="78"/>
        <v>163.42663999999999</v>
      </c>
      <c r="H388" s="166"/>
      <c r="I388" s="165"/>
      <c r="J388" s="160"/>
      <c r="K388" s="160"/>
      <c r="L388" s="166">
        <v>104.27162</v>
      </c>
      <c r="M388" s="165">
        <v>163.42663999999999</v>
      </c>
      <c r="N388" s="165"/>
      <c r="O388" s="165"/>
      <c r="P388" s="160"/>
      <c r="Q388" s="166"/>
      <c r="R388" s="165"/>
      <c r="S388" s="165"/>
      <c r="T388" s="159"/>
      <c r="U388" s="160"/>
      <c r="V388" s="165"/>
      <c r="W388" s="165"/>
      <c r="X388" s="160"/>
      <c r="Y388" s="166"/>
      <c r="Z388" s="160"/>
      <c r="AA388" s="160"/>
      <c r="AB388" s="165"/>
      <c r="AC388" s="165"/>
      <c r="AD388" s="165"/>
      <c r="AE388" s="165"/>
      <c r="AF388" s="160"/>
      <c r="AG388" s="160"/>
      <c r="AH388" s="160"/>
      <c r="AI388" s="160"/>
      <c r="AJ388" s="161"/>
      <c r="AK388" s="162"/>
      <c r="AL388" s="165"/>
      <c r="AM388" s="166"/>
      <c r="AN388" s="165"/>
      <c r="AO388" s="160"/>
      <c r="AP388" s="162"/>
      <c r="AQ388" s="161"/>
      <c r="AR388" s="162"/>
      <c r="AS388" s="161"/>
      <c r="AT388" s="165"/>
      <c r="AU388" s="166"/>
      <c r="AV388" s="165"/>
      <c r="AW388" s="166"/>
      <c r="AX388" s="165"/>
      <c r="AY388" s="165"/>
      <c r="AZ388" s="165"/>
      <c r="BA388" s="165"/>
      <c r="BB388" s="166"/>
      <c r="BC388" s="165"/>
      <c r="BD388" s="165"/>
      <c r="BE388" s="165"/>
      <c r="BF388" s="165"/>
      <c r="BG388" s="165"/>
      <c r="BH388" s="165"/>
      <c r="BI388" s="165"/>
      <c r="BJ388" s="166"/>
      <c r="BK388" s="165"/>
      <c r="BL388" s="165"/>
      <c r="BM388" s="163"/>
      <c r="BN388" s="165"/>
      <c r="BO388" s="165"/>
      <c r="BP388" s="165"/>
      <c r="BQ388" s="167"/>
    </row>
    <row r="389" spans="1:69" ht="39.950000000000003" customHeight="1" outlineLevel="1" x14ac:dyDescent="0.3">
      <c r="A389" s="17" t="s">
        <v>487</v>
      </c>
      <c r="B389" s="14" t="s">
        <v>467</v>
      </c>
      <c r="C389" s="9" t="s">
        <v>30</v>
      </c>
      <c r="D389" s="66" t="s">
        <v>520</v>
      </c>
      <c r="E389" s="158">
        <f t="shared" si="76"/>
        <v>1114.6317199999999</v>
      </c>
      <c r="F389" s="159">
        <f t="shared" si="77"/>
        <v>188.55503999999999</v>
      </c>
      <c r="G389" s="160">
        <f t="shared" si="78"/>
        <v>926.0766799999999</v>
      </c>
      <c r="H389" s="166"/>
      <c r="I389" s="165"/>
      <c r="J389" s="160"/>
      <c r="K389" s="160"/>
      <c r="L389" s="166">
        <v>188.55503999999999</v>
      </c>
      <c r="M389" s="165">
        <v>295.52542999999997</v>
      </c>
      <c r="N389" s="165"/>
      <c r="O389" s="165"/>
      <c r="P389" s="160"/>
      <c r="Q389" s="166"/>
      <c r="R389" s="165"/>
      <c r="S389" s="165"/>
      <c r="T389" s="159"/>
      <c r="U389" s="160"/>
      <c r="V389" s="165"/>
      <c r="W389" s="165"/>
      <c r="X389" s="160"/>
      <c r="Y389" s="166"/>
      <c r="Z389" s="160"/>
      <c r="AA389" s="160"/>
      <c r="AB389" s="165"/>
      <c r="AC389" s="165"/>
      <c r="AD389" s="165"/>
      <c r="AE389" s="165"/>
      <c r="AF389" s="160"/>
      <c r="AG389" s="160"/>
      <c r="AH389" s="160"/>
      <c r="AI389" s="160"/>
      <c r="AJ389" s="161"/>
      <c r="AK389" s="162"/>
      <c r="AL389" s="165"/>
      <c r="AM389" s="166"/>
      <c r="AN389" s="165"/>
      <c r="AO389" s="160"/>
      <c r="AP389" s="162"/>
      <c r="AQ389" s="161"/>
      <c r="AR389" s="162"/>
      <c r="AS389" s="161"/>
      <c r="AT389" s="165"/>
      <c r="AU389" s="166"/>
      <c r="AV389" s="165"/>
      <c r="AW389" s="166"/>
      <c r="AX389" s="165"/>
      <c r="AY389" s="165"/>
      <c r="AZ389" s="165"/>
      <c r="BA389" s="165"/>
      <c r="BB389" s="166"/>
      <c r="BC389" s="165"/>
      <c r="BD389" s="165"/>
      <c r="BE389" s="165">
        <v>630.55124999999998</v>
      </c>
      <c r="BF389" s="165"/>
      <c r="BG389" s="165"/>
      <c r="BH389" s="165"/>
      <c r="BI389" s="165"/>
      <c r="BJ389" s="166"/>
      <c r="BK389" s="165"/>
      <c r="BL389" s="165"/>
      <c r="BM389" s="163"/>
      <c r="BN389" s="165"/>
      <c r="BO389" s="165"/>
      <c r="BP389" s="165"/>
      <c r="BQ389" s="167"/>
    </row>
    <row r="390" spans="1:69" ht="39.950000000000003" customHeight="1" outlineLevel="1" x14ac:dyDescent="0.3">
      <c r="A390" s="17" t="s">
        <v>1436</v>
      </c>
      <c r="B390" s="14" t="s">
        <v>516</v>
      </c>
      <c r="C390" s="9" t="s">
        <v>30</v>
      </c>
      <c r="D390" s="66" t="s">
        <v>517</v>
      </c>
      <c r="E390" s="158">
        <f t="shared" si="76"/>
        <v>2081.6306599999998</v>
      </c>
      <c r="F390" s="159">
        <f t="shared" si="77"/>
        <v>121.20245</v>
      </c>
      <c r="G390" s="160">
        <f t="shared" si="78"/>
        <v>1960.42821</v>
      </c>
      <c r="H390" s="166"/>
      <c r="I390" s="165"/>
      <c r="J390" s="160"/>
      <c r="K390" s="160"/>
      <c r="L390" s="166">
        <v>121.20245</v>
      </c>
      <c r="M390" s="165">
        <v>189.96261000000001</v>
      </c>
      <c r="N390" s="165"/>
      <c r="O390" s="165"/>
      <c r="P390" s="160"/>
      <c r="Q390" s="166"/>
      <c r="R390" s="165"/>
      <c r="S390" s="165"/>
      <c r="T390" s="159"/>
      <c r="U390" s="160"/>
      <c r="V390" s="165"/>
      <c r="W390" s="165"/>
      <c r="X390" s="160"/>
      <c r="Y390" s="166"/>
      <c r="Z390" s="160"/>
      <c r="AA390" s="160"/>
      <c r="AB390" s="165"/>
      <c r="AC390" s="165"/>
      <c r="AD390" s="165"/>
      <c r="AE390" s="165"/>
      <c r="AF390" s="160"/>
      <c r="AG390" s="160"/>
      <c r="AH390" s="160"/>
      <c r="AI390" s="160"/>
      <c r="AJ390" s="161"/>
      <c r="AK390" s="162"/>
      <c r="AL390" s="165"/>
      <c r="AM390" s="166"/>
      <c r="AN390" s="165"/>
      <c r="AO390" s="160"/>
      <c r="AP390" s="162"/>
      <c r="AQ390" s="161"/>
      <c r="AR390" s="162"/>
      <c r="AS390" s="161"/>
      <c r="AT390" s="165"/>
      <c r="AU390" s="166"/>
      <c r="AV390" s="165"/>
      <c r="AW390" s="166"/>
      <c r="AX390" s="165"/>
      <c r="AY390" s="165"/>
      <c r="AZ390" s="165"/>
      <c r="BA390" s="165"/>
      <c r="BB390" s="166"/>
      <c r="BC390" s="165"/>
      <c r="BD390" s="165"/>
      <c r="BE390" s="165"/>
      <c r="BF390" s="165">
        <v>1770.4656</v>
      </c>
      <c r="BG390" s="165"/>
      <c r="BH390" s="165"/>
      <c r="BI390" s="165"/>
      <c r="BJ390" s="166"/>
      <c r="BK390" s="165"/>
      <c r="BL390" s="165"/>
      <c r="BM390" s="163"/>
      <c r="BN390" s="165"/>
      <c r="BO390" s="165"/>
      <c r="BP390" s="165"/>
      <c r="BQ390" s="167"/>
    </row>
    <row r="391" spans="1:69" ht="39.950000000000003" customHeight="1" outlineLevel="1" x14ac:dyDescent="0.3">
      <c r="A391" s="15" t="s">
        <v>487</v>
      </c>
      <c r="B391" s="14" t="s">
        <v>500</v>
      </c>
      <c r="C391" s="9" t="s">
        <v>87</v>
      </c>
      <c r="D391" s="66">
        <v>2450029532</v>
      </c>
      <c r="E391" s="158">
        <f t="shared" si="76"/>
        <v>194787.02553000001</v>
      </c>
      <c r="F391" s="159">
        <f t="shared" si="77"/>
        <v>0</v>
      </c>
      <c r="G391" s="160">
        <f t="shared" si="78"/>
        <v>194787.02553000001</v>
      </c>
      <c r="H391" s="166"/>
      <c r="I391" s="165"/>
      <c r="J391" s="160"/>
      <c r="K391" s="160"/>
      <c r="L391" s="166"/>
      <c r="M391" s="165"/>
      <c r="N391" s="165"/>
      <c r="O391" s="165"/>
      <c r="P391" s="160"/>
      <c r="Q391" s="166"/>
      <c r="R391" s="165"/>
      <c r="S391" s="165"/>
      <c r="T391" s="159"/>
      <c r="U391" s="160"/>
      <c r="V391" s="165"/>
      <c r="W391" s="165"/>
      <c r="X391" s="160"/>
      <c r="Y391" s="166"/>
      <c r="Z391" s="160"/>
      <c r="AA391" s="160"/>
      <c r="AB391" s="165"/>
      <c r="AC391" s="165"/>
      <c r="AD391" s="165"/>
      <c r="AE391" s="165"/>
      <c r="AF391" s="160">
        <v>192361.64418</v>
      </c>
      <c r="AG391" s="160"/>
      <c r="AH391" s="160"/>
      <c r="AI391" s="160"/>
      <c r="AJ391" s="161"/>
      <c r="AK391" s="162"/>
      <c r="AL391" s="165"/>
      <c r="AM391" s="166"/>
      <c r="AN391" s="165"/>
      <c r="AO391" s="160"/>
      <c r="AP391" s="162"/>
      <c r="AQ391" s="161"/>
      <c r="AR391" s="162"/>
      <c r="AS391" s="161"/>
      <c r="AT391" s="165"/>
      <c r="AU391" s="166"/>
      <c r="AV391" s="165"/>
      <c r="AW391" s="166"/>
      <c r="AX391" s="165"/>
      <c r="AY391" s="165"/>
      <c r="AZ391" s="165"/>
      <c r="BA391" s="165"/>
      <c r="BB391" s="166"/>
      <c r="BC391" s="165"/>
      <c r="BD391" s="165"/>
      <c r="BE391" s="165"/>
      <c r="BF391" s="165">
        <v>1417.8813500000001</v>
      </c>
      <c r="BG391" s="165"/>
      <c r="BH391" s="165"/>
      <c r="BI391" s="165">
        <v>1007.5</v>
      </c>
      <c r="BJ391" s="166"/>
      <c r="BK391" s="165"/>
      <c r="BL391" s="165"/>
      <c r="BM391" s="163"/>
      <c r="BN391" s="165"/>
      <c r="BO391" s="165"/>
      <c r="BP391" s="165"/>
      <c r="BQ391" s="167"/>
    </row>
    <row r="392" spans="1:69" ht="39.950000000000003" customHeight="1" outlineLevel="1" x14ac:dyDescent="0.3">
      <c r="A392" s="15" t="s">
        <v>1361</v>
      </c>
      <c r="B392" s="14" t="s">
        <v>1102</v>
      </c>
      <c r="C392" s="9" t="s">
        <v>87</v>
      </c>
      <c r="D392" s="9" t="s">
        <v>1267</v>
      </c>
      <c r="E392" s="158">
        <f t="shared" si="76"/>
        <v>676.77103</v>
      </c>
      <c r="F392" s="159">
        <f t="shared" si="77"/>
        <v>0</v>
      </c>
      <c r="G392" s="160">
        <f t="shared" si="78"/>
        <v>676.77103</v>
      </c>
      <c r="H392" s="166"/>
      <c r="I392" s="165"/>
      <c r="J392" s="160"/>
      <c r="K392" s="160"/>
      <c r="L392" s="166"/>
      <c r="M392" s="165"/>
      <c r="N392" s="165"/>
      <c r="O392" s="165"/>
      <c r="P392" s="160"/>
      <c r="Q392" s="166"/>
      <c r="R392" s="165"/>
      <c r="S392" s="165"/>
      <c r="T392" s="159"/>
      <c r="U392" s="160"/>
      <c r="V392" s="165"/>
      <c r="W392" s="165"/>
      <c r="X392" s="160"/>
      <c r="Y392" s="166"/>
      <c r="Z392" s="160"/>
      <c r="AA392" s="160"/>
      <c r="AB392" s="165"/>
      <c r="AC392" s="165"/>
      <c r="AD392" s="165"/>
      <c r="AE392" s="165"/>
      <c r="AF392" s="160"/>
      <c r="AG392" s="160"/>
      <c r="AH392" s="160"/>
      <c r="AI392" s="160">
        <v>676.77103</v>
      </c>
      <c r="AJ392" s="161"/>
      <c r="AK392" s="162"/>
      <c r="AL392" s="165"/>
      <c r="AM392" s="166"/>
      <c r="AN392" s="165"/>
      <c r="AO392" s="160"/>
      <c r="AP392" s="162"/>
      <c r="AQ392" s="161"/>
      <c r="AR392" s="162"/>
      <c r="AS392" s="161"/>
      <c r="AT392" s="165"/>
      <c r="AU392" s="166"/>
      <c r="AV392" s="165"/>
      <c r="AW392" s="166"/>
      <c r="AX392" s="165"/>
      <c r="AY392" s="165"/>
      <c r="AZ392" s="165"/>
      <c r="BA392" s="165"/>
      <c r="BB392" s="166"/>
      <c r="BC392" s="165"/>
      <c r="BD392" s="165"/>
      <c r="BE392" s="165"/>
      <c r="BF392" s="165"/>
      <c r="BG392" s="165"/>
      <c r="BH392" s="165"/>
      <c r="BI392" s="165"/>
      <c r="BJ392" s="166"/>
      <c r="BK392" s="165"/>
      <c r="BL392" s="165"/>
      <c r="BM392" s="163"/>
      <c r="BN392" s="165"/>
      <c r="BO392" s="165"/>
      <c r="BP392" s="165"/>
      <c r="BQ392" s="167"/>
    </row>
    <row r="393" spans="1:69" ht="39.950000000000003" customHeight="1" outlineLevel="1" x14ac:dyDescent="0.3">
      <c r="A393" s="15" t="s">
        <v>487</v>
      </c>
      <c r="B393" s="12" t="s">
        <v>488</v>
      </c>
      <c r="C393" s="9" t="s">
        <v>6</v>
      </c>
      <c r="D393" s="66" t="s">
        <v>489</v>
      </c>
      <c r="E393" s="158">
        <f t="shared" si="76"/>
        <v>30434.521070000003</v>
      </c>
      <c r="F393" s="159">
        <f t="shared" si="77"/>
        <v>10583.78674</v>
      </c>
      <c r="G393" s="160">
        <f t="shared" si="78"/>
        <v>19850.734330000003</v>
      </c>
      <c r="H393" s="166">
        <v>367.44225</v>
      </c>
      <c r="I393" s="165">
        <v>122.48075</v>
      </c>
      <c r="J393" s="160">
        <v>432</v>
      </c>
      <c r="K393" s="160"/>
      <c r="L393" s="166">
        <v>1171.41119</v>
      </c>
      <c r="M393" s="165">
        <v>1835.97219</v>
      </c>
      <c r="N393" s="165"/>
      <c r="O393" s="165"/>
      <c r="P393" s="160"/>
      <c r="Q393" s="166">
        <v>5358.6888300000001</v>
      </c>
      <c r="R393" s="165">
        <v>1786.2296100000001</v>
      </c>
      <c r="S393" s="165"/>
      <c r="T393" s="159"/>
      <c r="U393" s="160"/>
      <c r="V393" s="165"/>
      <c r="W393" s="165"/>
      <c r="X393" s="160"/>
      <c r="Y393" s="166">
        <v>2671.3504800000001</v>
      </c>
      <c r="Z393" s="160">
        <v>890.45015999999998</v>
      </c>
      <c r="AA393" s="160">
        <v>12641.718580000001</v>
      </c>
      <c r="AB393" s="165"/>
      <c r="AC393" s="165"/>
      <c r="AD393" s="165"/>
      <c r="AE393" s="165"/>
      <c r="AF393" s="160"/>
      <c r="AG393" s="160"/>
      <c r="AH393" s="160"/>
      <c r="AI393" s="160"/>
      <c r="AJ393" s="161"/>
      <c r="AK393" s="162"/>
      <c r="AL393" s="165"/>
      <c r="AM393" s="166"/>
      <c r="AN393" s="165"/>
      <c r="AO393" s="160"/>
      <c r="AP393" s="162"/>
      <c r="AQ393" s="161"/>
      <c r="AR393" s="162"/>
      <c r="AS393" s="161"/>
      <c r="AT393" s="165"/>
      <c r="AU393" s="166"/>
      <c r="AV393" s="165"/>
      <c r="AW393" s="166">
        <f>438.71724+576.17675</f>
        <v>1014.89399</v>
      </c>
      <c r="AX393" s="165">
        <f>33.60409+42.24396+131.04541+172.10475</f>
        <v>378.99820999999997</v>
      </c>
      <c r="AY393" s="165"/>
      <c r="AZ393" s="165"/>
      <c r="BA393" s="165"/>
      <c r="BB393" s="166"/>
      <c r="BC393" s="165"/>
      <c r="BD393" s="165"/>
      <c r="BE393" s="165"/>
      <c r="BF393" s="165"/>
      <c r="BG393" s="165">
        <v>153.30000000000001</v>
      </c>
      <c r="BH393" s="165">
        <v>1576.3225</v>
      </c>
      <c r="BI393" s="165"/>
      <c r="BJ393" s="166"/>
      <c r="BK393" s="165"/>
      <c r="BL393" s="165"/>
      <c r="BM393" s="163"/>
      <c r="BN393" s="165">
        <v>33.262329999999999</v>
      </c>
      <c r="BO393" s="165"/>
      <c r="BP393" s="165"/>
      <c r="BQ393" s="167"/>
    </row>
    <row r="394" spans="1:69" ht="39.950000000000003" customHeight="1" outlineLevel="1" x14ac:dyDescent="0.3">
      <c r="A394" s="15" t="s">
        <v>487</v>
      </c>
      <c r="B394" s="14" t="s">
        <v>1373</v>
      </c>
      <c r="C394" s="9" t="s">
        <v>6</v>
      </c>
      <c r="D394" s="66" t="s">
        <v>492</v>
      </c>
      <c r="E394" s="158">
        <f t="shared" si="76"/>
        <v>157642.32351000002</v>
      </c>
      <c r="F394" s="159">
        <f t="shared" si="77"/>
        <v>29892.29221</v>
      </c>
      <c r="G394" s="160">
        <f t="shared" si="78"/>
        <v>127750.0313</v>
      </c>
      <c r="H394" s="166">
        <v>2337.5792700000002</v>
      </c>
      <c r="I394" s="165">
        <v>779.19308999999998</v>
      </c>
      <c r="J394" s="160">
        <v>1919.5871999999999</v>
      </c>
      <c r="K394" s="160"/>
      <c r="L394" s="166">
        <v>3256.3239699999999</v>
      </c>
      <c r="M394" s="165">
        <v>5103.6905500000003</v>
      </c>
      <c r="N394" s="165"/>
      <c r="O394" s="165"/>
      <c r="P394" s="160"/>
      <c r="Q394" s="166">
        <v>12047.883</v>
      </c>
      <c r="R394" s="165">
        <v>4015.9609999999998</v>
      </c>
      <c r="S394" s="165">
        <f>7576.9935+10549.41+2926.6875+2847.3775+3902.5275+2952.3375+4702.93069</f>
        <v>35458.264190000002</v>
      </c>
      <c r="T394" s="159"/>
      <c r="U394" s="160"/>
      <c r="V394" s="165"/>
      <c r="W394" s="165"/>
      <c r="X394" s="160"/>
      <c r="Y394" s="166">
        <v>6794.1018599999998</v>
      </c>
      <c r="Z394" s="160">
        <v>2264.7006200000001</v>
      </c>
      <c r="AA394" s="160">
        <v>35136.390449999999</v>
      </c>
      <c r="AB394" s="165"/>
      <c r="AC394" s="165"/>
      <c r="AD394" s="165"/>
      <c r="AE394" s="165"/>
      <c r="AF394" s="160"/>
      <c r="AG394" s="160"/>
      <c r="AH394" s="160"/>
      <c r="AI394" s="160"/>
      <c r="AJ394" s="161"/>
      <c r="AK394" s="162"/>
      <c r="AL394" s="165"/>
      <c r="AM394" s="166"/>
      <c r="AN394" s="165"/>
      <c r="AO394" s="160"/>
      <c r="AP394" s="162"/>
      <c r="AQ394" s="161"/>
      <c r="AR394" s="162"/>
      <c r="AS394" s="161"/>
      <c r="AT394" s="165"/>
      <c r="AU394" s="166"/>
      <c r="AV394" s="165"/>
      <c r="AW394" s="166">
        <v>5456.4041100000004</v>
      </c>
      <c r="AX394" s="165">
        <f>552.72664+1629.83501</f>
        <v>2182.5616500000001</v>
      </c>
      <c r="AY394" s="165">
        <v>5974.5400499999996</v>
      </c>
      <c r="AZ394" s="165">
        <v>1098.4166</v>
      </c>
      <c r="BA394" s="165">
        <v>273.66343999999998</v>
      </c>
      <c r="BB394" s="166"/>
      <c r="BC394" s="165"/>
      <c r="BD394" s="165"/>
      <c r="BE394" s="165">
        <v>15614.633169999999</v>
      </c>
      <c r="BF394" s="165">
        <v>9192.1244000000006</v>
      </c>
      <c r="BG394" s="165">
        <v>41.666670000000003</v>
      </c>
      <c r="BH394" s="165">
        <v>6000</v>
      </c>
      <c r="BI394" s="165"/>
      <c r="BJ394" s="166"/>
      <c r="BK394" s="165"/>
      <c r="BL394" s="165"/>
      <c r="BM394" s="163"/>
      <c r="BN394" s="165">
        <v>16.4222</v>
      </c>
      <c r="BO394" s="165">
        <v>2678.2160199999998</v>
      </c>
      <c r="BP394" s="165"/>
      <c r="BQ394" s="167"/>
    </row>
    <row r="395" spans="1:69" ht="39.950000000000003" customHeight="1" outlineLevel="1" x14ac:dyDescent="0.3">
      <c r="A395" s="15" t="s">
        <v>487</v>
      </c>
      <c r="B395" s="14" t="s">
        <v>490</v>
      </c>
      <c r="C395" s="9" t="s">
        <v>6</v>
      </c>
      <c r="D395" s="66" t="s">
        <v>491</v>
      </c>
      <c r="E395" s="158">
        <f t="shared" si="76"/>
        <v>52581.193970000008</v>
      </c>
      <c r="F395" s="159">
        <f t="shared" si="77"/>
        <v>13969.82993</v>
      </c>
      <c r="G395" s="160">
        <f t="shared" si="78"/>
        <v>38611.364040000008</v>
      </c>
      <c r="H395" s="166">
        <v>397.26749999999998</v>
      </c>
      <c r="I395" s="165">
        <v>132.42250000000001</v>
      </c>
      <c r="J395" s="160"/>
      <c r="K395" s="160"/>
      <c r="L395" s="166">
        <v>2516.2229000000002</v>
      </c>
      <c r="M395" s="165">
        <v>3943.7178800000002</v>
      </c>
      <c r="N395" s="165"/>
      <c r="O395" s="165"/>
      <c r="P395" s="160"/>
      <c r="Q395" s="166">
        <v>7150.1566499999999</v>
      </c>
      <c r="R395" s="165">
        <v>2383.38555</v>
      </c>
      <c r="S395" s="165"/>
      <c r="T395" s="159"/>
      <c r="U395" s="160"/>
      <c r="V395" s="165"/>
      <c r="W395" s="165"/>
      <c r="X395" s="160"/>
      <c r="Y395" s="166">
        <v>3906.1828799999998</v>
      </c>
      <c r="Z395" s="160">
        <v>1302.06096</v>
      </c>
      <c r="AA395" s="160">
        <v>17134.774089999999</v>
      </c>
      <c r="AB395" s="165"/>
      <c r="AC395" s="165"/>
      <c r="AD395" s="165"/>
      <c r="AE395" s="165"/>
      <c r="AF395" s="160"/>
      <c r="AG395" s="160"/>
      <c r="AH395" s="160"/>
      <c r="AI395" s="160">
        <v>2895.2732500000002</v>
      </c>
      <c r="AJ395" s="161"/>
      <c r="AK395" s="162"/>
      <c r="AL395" s="165"/>
      <c r="AM395" s="166"/>
      <c r="AN395" s="165"/>
      <c r="AO395" s="160"/>
      <c r="AP395" s="162"/>
      <c r="AQ395" s="161"/>
      <c r="AR395" s="162"/>
      <c r="AS395" s="161"/>
      <c r="AT395" s="165"/>
      <c r="AU395" s="166"/>
      <c r="AV395" s="165"/>
      <c r="AW395" s="166"/>
      <c r="AX395" s="165"/>
      <c r="AY395" s="165">
        <v>984.31203000000005</v>
      </c>
      <c r="AZ395" s="165"/>
      <c r="BA395" s="165"/>
      <c r="BB395" s="166"/>
      <c r="BC395" s="165"/>
      <c r="BD395" s="165"/>
      <c r="BE395" s="165">
        <v>1272.79258</v>
      </c>
      <c r="BF395" s="165">
        <v>659.65049999999997</v>
      </c>
      <c r="BG395" s="165">
        <v>391.77499999999998</v>
      </c>
      <c r="BH395" s="165">
        <v>6000</v>
      </c>
      <c r="BI395" s="165"/>
      <c r="BJ395" s="166"/>
      <c r="BK395" s="165"/>
      <c r="BL395" s="165"/>
      <c r="BM395" s="163"/>
      <c r="BN395" s="165">
        <v>56.366599999999998</v>
      </c>
      <c r="BO395" s="165">
        <v>1454.8331000000001</v>
      </c>
      <c r="BP395" s="165"/>
      <c r="BQ395" s="167"/>
    </row>
    <row r="396" spans="1:69" ht="39.950000000000003" customHeight="1" outlineLevel="1" x14ac:dyDescent="0.3">
      <c r="A396" s="15" t="s">
        <v>487</v>
      </c>
      <c r="B396" s="14" t="s">
        <v>493</v>
      </c>
      <c r="C396" s="9" t="s">
        <v>6</v>
      </c>
      <c r="D396" s="66" t="s">
        <v>494</v>
      </c>
      <c r="E396" s="158">
        <f t="shared" si="76"/>
        <v>37612.669180000004</v>
      </c>
      <c r="F396" s="159">
        <f t="shared" si="77"/>
        <v>11243.08014</v>
      </c>
      <c r="G396" s="160">
        <f t="shared" si="78"/>
        <v>26369.589040000003</v>
      </c>
      <c r="H396" s="166"/>
      <c r="I396" s="165"/>
      <c r="J396" s="160"/>
      <c r="K396" s="160"/>
      <c r="L396" s="166">
        <v>1944.67356</v>
      </c>
      <c r="M396" s="165">
        <v>3047.9191300000002</v>
      </c>
      <c r="N396" s="165"/>
      <c r="O396" s="165"/>
      <c r="P396" s="160"/>
      <c r="Q396" s="166">
        <v>5892.9862499999999</v>
      </c>
      <c r="R396" s="165">
        <v>1964.3287499999999</v>
      </c>
      <c r="S396" s="165"/>
      <c r="T396" s="159"/>
      <c r="U396" s="160"/>
      <c r="V396" s="165"/>
      <c r="W396" s="165"/>
      <c r="X396" s="160"/>
      <c r="Y396" s="166">
        <v>3405.4203299999999</v>
      </c>
      <c r="Z396" s="160">
        <v>1135.14011</v>
      </c>
      <c r="AA396" s="160">
        <v>14232.32105</v>
      </c>
      <c r="AB396" s="165"/>
      <c r="AC396" s="165"/>
      <c r="AD396" s="165"/>
      <c r="AE396" s="165"/>
      <c r="AF396" s="160"/>
      <c r="AG396" s="160"/>
      <c r="AH396" s="160"/>
      <c r="AI396" s="160"/>
      <c r="AJ396" s="161"/>
      <c r="AK396" s="162"/>
      <c r="AL396" s="165"/>
      <c r="AM396" s="166"/>
      <c r="AN396" s="165"/>
      <c r="AO396" s="160"/>
      <c r="AP396" s="162"/>
      <c r="AQ396" s="161"/>
      <c r="AR396" s="162"/>
      <c r="AS396" s="161"/>
      <c r="AT396" s="165"/>
      <c r="AU396" s="166"/>
      <c r="AV396" s="165"/>
      <c r="AW396" s="166"/>
      <c r="AX396" s="165"/>
      <c r="AY396" s="165"/>
      <c r="AZ396" s="165"/>
      <c r="BA396" s="165"/>
      <c r="BB396" s="166"/>
      <c r="BC396" s="165"/>
      <c r="BD396" s="165"/>
      <c r="BE396" s="165"/>
      <c r="BF396" s="165"/>
      <c r="BG396" s="165">
        <v>2000</v>
      </c>
      <c r="BH396" s="165">
        <v>3989.88</v>
      </c>
      <c r="BI396" s="165"/>
      <c r="BJ396" s="166"/>
      <c r="BK396" s="165"/>
      <c r="BL396" s="165"/>
      <c r="BM396" s="163"/>
      <c r="BN396" s="165"/>
      <c r="BO396" s="165"/>
      <c r="BP396" s="165"/>
      <c r="BQ396" s="167"/>
    </row>
    <row r="397" spans="1:69" ht="39.950000000000003" customHeight="1" outlineLevel="1" x14ac:dyDescent="0.3">
      <c r="A397" s="15" t="s">
        <v>487</v>
      </c>
      <c r="B397" s="14" t="s">
        <v>1326</v>
      </c>
      <c r="C397" s="9" t="s">
        <v>6</v>
      </c>
      <c r="D397" s="66" t="s">
        <v>497</v>
      </c>
      <c r="E397" s="158">
        <f t="shared" si="76"/>
        <v>61890.085039999998</v>
      </c>
      <c r="F397" s="159">
        <f t="shared" si="77"/>
        <v>19813.609120000001</v>
      </c>
      <c r="G397" s="160">
        <f t="shared" si="78"/>
        <v>42076.475919999997</v>
      </c>
      <c r="H397" s="166">
        <v>617.95830000000001</v>
      </c>
      <c r="I397" s="165">
        <v>205.98608999999999</v>
      </c>
      <c r="J397" s="160">
        <v>960</v>
      </c>
      <c r="K397" s="160"/>
      <c r="L397" s="166">
        <f>233.4845+2848.20203</f>
        <v>3081.6865299999999</v>
      </c>
      <c r="M397" s="165">
        <f>365.94414+4464.03426</f>
        <v>4829.9784</v>
      </c>
      <c r="N397" s="165"/>
      <c r="O397" s="165"/>
      <c r="P397" s="160"/>
      <c r="Q397" s="166">
        <v>9638.3063999999995</v>
      </c>
      <c r="R397" s="165">
        <v>3212.7687999999998</v>
      </c>
      <c r="S397" s="165"/>
      <c r="T397" s="159"/>
      <c r="U397" s="160"/>
      <c r="V397" s="165"/>
      <c r="W397" s="165"/>
      <c r="X397" s="160"/>
      <c r="Y397" s="159">
        <v>6475.6578900000004</v>
      </c>
      <c r="Z397" s="160">
        <v>2158.5526300000001</v>
      </c>
      <c r="AA397" s="160">
        <v>27719.64833</v>
      </c>
      <c r="AB397" s="165"/>
      <c r="AC397" s="165"/>
      <c r="AD397" s="165"/>
      <c r="AE397" s="165"/>
      <c r="AF397" s="160"/>
      <c r="AG397" s="160"/>
      <c r="AH397" s="160"/>
      <c r="AI397" s="160"/>
      <c r="AJ397" s="161"/>
      <c r="AK397" s="162"/>
      <c r="AL397" s="165"/>
      <c r="AM397" s="166"/>
      <c r="AN397" s="165"/>
      <c r="AO397" s="160"/>
      <c r="AP397" s="162"/>
      <c r="AQ397" s="161"/>
      <c r="AR397" s="162"/>
      <c r="AS397" s="161"/>
      <c r="AT397" s="165"/>
      <c r="AU397" s="166"/>
      <c r="AV397" s="165"/>
      <c r="AW397" s="166"/>
      <c r="AX397" s="165"/>
      <c r="AY397" s="165"/>
      <c r="AZ397" s="165"/>
      <c r="BA397" s="165"/>
      <c r="BB397" s="166"/>
      <c r="BC397" s="165"/>
      <c r="BD397" s="165"/>
      <c r="BE397" s="165"/>
      <c r="BF397" s="165"/>
      <c r="BG397" s="165"/>
      <c r="BH397" s="165">
        <v>2989.5416700000001</v>
      </c>
      <c r="BI397" s="165"/>
      <c r="BJ397" s="166"/>
      <c r="BK397" s="165"/>
      <c r="BL397" s="165"/>
      <c r="BM397" s="163"/>
      <c r="BN397" s="165"/>
      <c r="BO397" s="165"/>
      <c r="BP397" s="165"/>
      <c r="BQ397" s="167"/>
    </row>
    <row r="398" spans="1:69" ht="39.950000000000003" customHeight="1" outlineLevel="1" x14ac:dyDescent="0.3">
      <c r="A398" s="15" t="s">
        <v>487</v>
      </c>
      <c r="B398" s="14" t="s">
        <v>495</v>
      </c>
      <c r="C398" s="9" t="s">
        <v>6</v>
      </c>
      <c r="D398" s="66" t="s">
        <v>496</v>
      </c>
      <c r="E398" s="158">
        <f t="shared" si="76"/>
        <v>36085.899039999997</v>
      </c>
      <c r="F398" s="159">
        <f t="shared" si="77"/>
        <v>6811.5249600000006</v>
      </c>
      <c r="G398" s="160">
        <f t="shared" si="78"/>
        <v>29274.374079999998</v>
      </c>
      <c r="H398" s="166">
        <v>322.28174999999999</v>
      </c>
      <c r="I398" s="165">
        <v>107.42725</v>
      </c>
      <c r="J398" s="160">
        <v>624</v>
      </c>
      <c r="K398" s="160"/>
      <c r="L398" s="166">
        <v>1967.4653699999999</v>
      </c>
      <c r="M398" s="165">
        <v>3083.6410999999998</v>
      </c>
      <c r="N398" s="165"/>
      <c r="O398" s="165"/>
      <c r="P398" s="160"/>
      <c r="Q398" s="166"/>
      <c r="R398" s="165"/>
      <c r="S398" s="165"/>
      <c r="T398" s="159"/>
      <c r="U398" s="160"/>
      <c r="V398" s="165"/>
      <c r="W398" s="165"/>
      <c r="X398" s="160"/>
      <c r="Y398" s="166">
        <v>3583.4293499999999</v>
      </c>
      <c r="Z398" s="160">
        <v>1194.4764500000001</v>
      </c>
      <c r="AA398" s="160">
        <v>18347.32805</v>
      </c>
      <c r="AB398" s="165"/>
      <c r="AC398" s="165"/>
      <c r="AD398" s="165"/>
      <c r="AE398" s="165"/>
      <c r="AF398" s="160"/>
      <c r="AG398" s="160"/>
      <c r="AH398" s="160"/>
      <c r="AI398" s="160"/>
      <c r="AJ398" s="161"/>
      <c r="AK398" s="162"/>
      <c r="AL398" s="165"/>
      <c r="AM398" s="166"/>
      <c r="AN398" s="165"/>
      <c r="AO398" s="160"/>
      <c r="AP398" s="162"/>
      <c r="AQ398" s="161"/>
      <c r="AR398" s="162"/>
      <c r="AS398" s="161"/>
      <c r="AT398" s="165"/>
      <c r="AU398" s="166"/>
      <c r="AV398" s="165"/>
      <c r="AW398" s="166">
        <f>484.65234+301.37938+152.31677</f>
        <v>938.34848999999997</v>
      </c>
      <c r="AX398" s="165">
        <f>8.65105+4.4835+2.30115+144.76629+90.0224+45.49721</f>
        <v>295.72160000000002</v>
      </c>
      <c r="AY398" s="165"/>
      <c r="AZ398" s="165"/>
      <c r="BA398" s="165">
        <v>90.203500000000005</v>
      </c>
      <c r="BB398" s="166"/>
      <c r="BC398" s="165"/>
      <c r="BD398" s="165"/>
      <c r="BE398" s="165">
        <v>648.02864999999997</v>
      </c>
      <c r="BF398" s="165">
        <v>4215.7089800000003</v>
      </c>
      <c r="BG398" s="165">
        <v>225.00001</v>
      </c>
      <c r="BH398" s="165"/>
      <c r="BI398" s="165"/>
      <c r="BJ398" s="166"/>
      <c r="BK398" s="165"/>
      <c r="BL398" s="165"/>
      <c r="BM398" s="163"/>
      <c r="BN398" s="165"/>
      <c r="BO398" s="165">
        <v>442.83848999999998</v>
      </c>
      <c r="BP398" s="165"/>
      <c r="BQ398" s="167"/>
    </row>
    <row r="399" spans="1:69" ht="39.950000000000003" customHeight="1" outlineLevel="1" x14ac:dyDescent="0.3">
      <c r="A399" s="15" t="s">
        <v>487</v>
      </c>
      <c r="B399" s="14" t="s">
        <v>1122</v>
      </c>
      <c r="C399" s="9" t="s">
        <v>6</v>
      </c>
      <c r="D399" s="66" t="s">
        <v>1200</v>
      </c>
      <c r="E399" s="158">
        <f t="shared" si="76"/>
        <v>4821.5118400000001</v>
      </c>
      <c r="F399" s="159">
        <f t="shared" si="77"/>
        <v>163.98423</v>
      </c>
      <c r="G399" s="160">
        <f t="shared" si="78"/>
        <v>4657.5276100000001</v>
      </c>
      <c r="H399" s="166"/>
      <c r="I399" s="165"/>
      <c r="J399" s="160"/>
      <c r="K399" s="160"/>
      <c r="L399" s="166">
        <v>163.98423</v>
      </c>
      <c r="M399" s="165">
        <v>257.01519999999999</v>
      </c>
      <c r="N399" s="165"/>
      <c r="O399" s="165"/>
      <c r="P399" s="160"/>
      <c r="Q399" s="166"/>
      <c r="R399" s="165"/>
      <c r="S399" s="165"/>
      <c r="T399" s="159"/>
      <c r="U399" s="160"/>
      <c r="V399" s="165"/>
      <c r="W399" s="165"/>
      <c r="X399" s="160"/>
      <c r="Y399" s="166"/>
      <c r="Z399" s="160"/>
      <c r="AA399" s="160">
        <v>4400.5124100000003</v>
      </c>
      <c r="AB399" s="165"/>
      <c r="AC399" s="165"/>
      <c r="AD399" s="165"/>
      <c r="AE399" s="165"/>
      <c r="AF399" s="160"/>
      <c r="AG399" s="160"/>
      <c r="AH399" s="160"/>
      <c r="AI399" s="160"/>
      <c r="AJ399" s="161"/>
      <c r="AK399" s="162"/>
      <c r="AL399" s="165"/>
      <c r="AM399" s="166"/>
      <c r="AN399" s="165"/>
      <c r="AO399" s="160"/>
      <c r="AP399" s="162"/>
      <c r="AQ399" s="161"/>
      <c r="AR399" s="162"/>
      <c r="AS399" s="161"/>
      <c r="AT399" s="165"/>
      <c r="AU399" s="166"/>
      <c r="AV399" s="165"/>
      <c r="AW399" s="166"/>
      <c r="AX399" s="165"/>
      <c r="AY399" s="165"/>
      <c r="AZ399" s="165"/>
      <c r="BA399" s="165"/>
      <c r="BB399" s="166"/>
      <c r="BC399" s="165"/>
      <c r="BD399" s="165"/>
      <c r="BE399" s="165"/>
      <c r="BF399" s="165"/>
      <c r="BG399" s="165"/>
      <c r="BH399" s="165"/>
      <c r="BI399" s="165"/>
      <c r="BJ399" s="166"/>
      <c r="BK399" s="165"/>
      <c r="BL399" s="165"/>
      <c r="BM399" s="163"/>
      <c r="BN399" s="165"/>
      <c r="BO399" s="165"/>
      <c r="BP399" s="165"/>
      <c r="BQ399" s="167"/>
    </row>
    <row r="400" spans="1:69" ht="39.950000000000003" customHeight="1" outlineLevel="1" x14ac:dyDescent="0.3">
      <c r="A400" s="15" t="s">
        <v>487</v>
      </c>
      <c r="B400" s="14" t="s">
        <v>498</v>
      </c>
      <c r="C400" s="9" t="s">
        <v>6</v>
      </c>
      <c r="D400" s="66" t="s">
        <v>499</v>
      </c>
      <c r="E400" s="158">
        <f t="shared" si="76"/>
        <v>10897.492490000001</v>
      </c>
      <c r="F400" s="159">
        <f t="shared" si="77"/>
        <v>2190.7030399999999</v>
      </c>
      <c r="G400" s="160">
        <f t="shared" si="78"/>
        <v>8706.7894500000002</v>
      </c>
      <c r="H400" s="166">
        <v>208.63891000000001</v>
      </c>
      <c r="I400" s="165">
        <v>69.546289999999999</v>
      </c>
      <c r="J400" s="160">
        <v>240</v>
      </c>
      <c r="K400" s="160"/>
      <c r="L400" s="166">
        <v>708.47286999999994</v>
      </c>
      <c r="M400" s="165">
        <v>1110.40129</v>
      </c>
      <c r="N400" s="165"/>
      <c r="O400" s="165"/>
      <c r="P400" s="160"/>
      <c r="Q400" s="166"/>
      <c r="R400" s="165"/>
      <c r="S400" s="165"/>
      <c r="T400" s="159"/>
      <c r="U400" s="160"/>
      <c r="V400" s="165"/>
      <c r="W400" s="165"/>
      <c r="X400" s="160"/>
      <c r="Y400" s="166">
        <v>1273.5912599999999</v>
      </c>
      <c r="Z400" s="160">
        <v>424.53041999999999</v>
      </c>
      <c r="AA400" s="160">
        <v>4798.2437099999997</v>
      </c>
      <c r="AB400" s="165"/>
      <c r="AC400" s="165"/>
      <c r="AD400" s="165"/>
      <c r="AE400" s="165"/>
      <c r="AF400" s="160"/>
      <c r="AG400" s="160"/>
      <c r="AH400" s="160"/>
      <c r="AI400" s="160"/>
      <c r="AJ400" s="161"/>
      <c r="AK400" s="162"/>
      <c r="AL400" s="165"/>
      <c r="AM400" s="166"/>
      <c r="AN400" s="165"/>
      <c r="AO400" s="160"/>
      <c r="AP400" s="162"/>
      <c r="AQ400" s="161"/>
      <c r="AR400" s="162"/>
      <c r="AS400" s="161"/>
      <c r="AT400" s="165"/>
      <c r="AU400" s="166"/>
      <c r="AV400" s="165"/>
      <c r="AW400" s="166"/>
      <c r="AX400" s="165"/>
      <c r="AY400" s="165"/>
      <c r="AZ400" s="165"/>
      <c r="BA400" s="165"/>
      <c r="BB400" s="166"/>
      <c r="BC400" s="165"/>
      <c r="BD400" s="165"/>
      <c r="BE400" s="165">
        <v>493.72644000000003</v>
      </c>
      <c r="BF400" s="165">
        <v>1447.20787</v>
      </c>
      <c r="BG400" s="165">
        <v>123.13343</v>
      </c>
      <c r="BH400" s="165"/>
      <c r="BI400" s="165"/>
      <c r="BJ400" s="166"/>
      <c r="BK400" s="165"/>
      <c r="BL400" s="165"/>
      <c r="BM400" s="163"/>
      <c r="BN400" s="165"/>
      <c r="BO400" s="165"/>
      <c r="BP400" s="165"/>
      <c r="BQ400" s="167"/>
    </row>
    <row r="401" spans="1:270" s="34" customFormat="1" ht="39.950000000000003" customHeight="1" x14ac:dyDescent="0.3">
      <c r="A401" s="118" t="s">
        <v>523</v>
      </c>
      <c r="B401" s="120"/>
      <c r="C401" s="116" t="s">
        <v>80</v>
      </c>
      <c r="D401" s="117"/>
      <c r="E401" s="171">
        <f t="shared" ref="E401:AI401" si="79">SUBTOTAL(9,E374:E400)</f>
        <v>594857.19151000015</v>
      </c>
      <c r="F401" s="171">
        <f t="shared" si="79"/>
        <v>96373.570309999996</v>
      </c>
      <c r="G401" s="171">
        <f t="shared" si="79"/>
        <v>498483.62119999999</v>
      </c>
      <c r="H401" s="171">
        <f t="shared" si="79"/>
        <v>4501.8220600000004</v>
      </c>
      <c r="I401" s="171">
        <f t="shared" si="79"/>
        <v>1500.6073299999998</v>
      </c>
      <c r="J401" s="171">
        <f t="shared" si="79"/>
        <v>4175.5871999999999</v>
      </c>
      <c r="K401" s="171">
        <f t="shared" si="79"/>
        <v>0</v>
      </c>
      <c r="L401" s="171">
        <f t="shared" si="79"/>
        <v>16264.346479999998</v>
      </c>
      <c r="M401" s="171">
        <f t="shared" si="79"/>
        <v>25491.379960000006</v>
      </c>
      <c r="N401" s="171">
        <f t="shared" si="79"/>
        <v>0</v>
      </c>
      <c r="O401" s="171">
        <f>SUBTOTAL(9,O374:O400)</f>
        <v>0</v>
      </c>
      <c r="P401" s="171">
        <f>SUBTOTAL(9,P374:P400)</f>
        <v>0</v>
      </c>
      <c r="Q401" s="171">
        <f t="shared" si="79"/>
        <v>40088.021130000001</v>
      </c>
      <c r="R401" s="171">
        <f t="shared" si="79"/>
        <v>13362.673709999999</v>
      </c>
      <c r="S401" s="171">
        <f t="shared" si="79"/>
        <v>35458.264190000002</v>
      </c>
      <c r="T401" s="171">
        <f>SUBTOTAL(9,T374:T400)</f>
        <v>0</v>
      </c>
      <c r="U401" s="171">
        <f>SUBTOTAL(9,U374:U400)</f>
        <v>0</v>
      </c>
      <c r="V401" s="171">
        <f t="shared" si="79"/>
        <v>0</v>
      </c>
      <c r="W401" s="171">
        <f t="shared" si="79"/>
        <v>0</v>
      </c>
      <c r="X401" s="171">
        <f>SUBTOTAL(9,X374:X400)</f>
        <v>0</v>
      </c>
      <c r="Y401" s="171">
        <f t="shared" si="79"/>
        <v>28109.734049999999</v>
      </c>
      <c r="Z401" s="171">
        <f t="shared" si="79"/>
        <v>9369.9113499999985</v>
      </c>
      <c r="AA401" s="171">
        <f t="shared" si="79"/>
        <v>134410.93667</v>
      </c>
      <c r="AB401" s="171">
        <f t="shared" si="79"/>
        <v>0</v>
      </c>
      <c r="AC401" s="171">
        <f t="shared" si="79"/>
        <v>0</v>
      </c>
      <c r="AD401" s="171">
        <f>SUBTOTAL(9,AD374:AD400)</f>
        <v>0</v>
      </c>
      <c r="AE401" s="171">
        <f t="shared" si="79"/>
        <v>0</v>
      </c>
      <c r="AF401" s="171">
        <f t="shared" si="79"/>
        <v>192361.64418</v>
      </c>
      <c r="AG401" s="171">
        <f t="shared" si="79"/>
        <v>0</v>
      </c>
      <c r="AH401" s="171">
        <f t="shared" si="79"/>
        <v>0</v>
      </c>
      <c r="AI401" s="171">
        <f t="shared" si="79"/>
        <v>3572.0442800000001</v>
      </c>
      <c r="AJ401" s="171">
        <f t="shared" ref="AJ401:BQ401" si="80">SUBTOTAL(9,AJ374:AJ400)</f>
        <v>0</v>
      </c>
      <c r="AK401" s="171">
        <f t="shared" si="80"/>
        <v>0</v>
      </c>
      <c r="AL401" s="171">
        <f t="shared" si="80"/>
        <v>0</v>
      </c>
      <c r="AM401" s="171">
        <f>SUBTOTAL(9,AM374:AM400)</f>
        <v>0</v>
      </c>
      <c r="AN401" s="171">
        <f>SUBTOTAL(9,AN374:AN400)</f>
        <v>0</v>
      </c>
      <c r="AO401" s="171">
        <f>SUBTOTAL(9,AO374:AO400)</f>
        <v>0</v>
      </c>
      <c r="AP401" s="171">
        <f t="shared" si="80"/>
        <v>0</v>
      </c>
      <c r="AQ401" s="171">
        <f t="shared" si="80"/>
        <v>0</v>
      </c>
      <c r="AR401" s="171">
        <f t="shared" si="80"/>
        <v>0</v>
      </c>
      <c r="AS401" s="171">
        <f t="shared" si="80"/>
        <v>0</v>
      </c>
      <c r="AT401" s="171">
        <f>SUBTOTAL(9,AT374:AT400)</f>
        <v>0</v>
      </c>
      <c r="AU401" s="171">
        <f t="shared" si="80"/>
        <v>0</v>
      </c>
      <c r="AV401" s="171">
        <f t="shared" si="80"/>
        <v>0</v>
      </c>
      <c r="AW401" s="171">
        <f t="shared" si="80"/>
        <v>7409.6465900000003</v>
      </c>
      <c r="AX401" s="171">
        <f t="shared" si="80"/>
        <v>2857.2814600000002</v>
      </c>
      <c r="AY401" s="171">
        <f t="shared" si="80"/>
        <v>6958.8520799999997</v>
      </c>
      <c r="AZ401" s="171">
        <f t="shared" si="80"/>
        <v>1098.4166</v>
      </c>
      <c r="BA401" s="171">
        <f t="shared" si="80"/>
        <v>363.86694</v>
      </c>
      <c r="BB401" s="171">
        <f t="shared" si="80"/>
        <v>0</v>
      </c>
      <c r="BC401" s="171">
        <f t="shared" si="80"/>
        <v>0</v>
      </c>
      <c r="BD401" s="171">
        <f t="shared" si="80"/>
        <v>0</v>
      </c>
      <c r="BE401" s="171">
        <f t="shared" si="80"/>
        <v>18730.858529999998</v>
      </c>
      <c r="BF401" s="171">
        <f t="shared" si="80"/>
        <v>18703.038699999997</v>
      </c>
      <c r="BG401" s="171">
        <f t="shared" si="80"/>
        <v>2975.5751100000002</v>
      </c>
      <c r="BH401" s="171">
        <f t="shared" si="80"/>
        <v>21403.244169999998</v>
      </c>
      <c r="BI401" s="171">
        <f t="shared" si="80"/>
        <v>1007.5</v>
      </c>
      <c r="BJ401" s="171">
        <f t="shared" si="80"/>
        <v>0</v>
      </c>
      <c r="BK401" s="171">
        <f t="shared" si="80"/>
        <v>0</v>
      </c>
      <c r="BL401" s="171">
        <f t="shared" si="80"/>
        <v>0</v>
      </c>
      <c r="BM401" s="172">
        <f>SUBTOTAL(9,BM374:BM400)</f>
        <v>0</v>
      </c>
      <c r="BN401" s="171">
        <f t="shared" si="80"/>
        <v>106.05113</v>
      </c>
      <c r="BO401" s="171">
        <f t="shared" si="80"/>
        <v>4575.8876099999998</v>
      </c>
      <c r="BP401" s="171">
        <f t="shared" si="80"/>
        <v>0</v>
      </c>
      <c r="BQ401" s="172">
        <f t="shared" si="80"/>
        <v>0</v>
      </c>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c r="DV401" s="40"/>
      <c r="DW401" s="40"/>
      <c r="DX401" s="40"/>
      <c r="DY401" s="40"/>
      <c r="DZ401" s="40"/>
      <c r="EA401" s="40"/>
      <c r="EB401" s="40"/>
      <c r="EC401" s="40"/>
      <c r="ED401" s="40"/>
      <c r="EE401" s="40"/>
      <c r="EF401" s="40"/>
      <c r="EG401" s="40"/>
      <c r="EH401" s="40"/>
      <c r="EI401" s="40"/>
      <c r="EJ401" s="40"/>
      <c r="EK401" s="40"/>
      <c r="EL401" s="40"/>
      <c r="EM401" s="40"/>
      <c r="EN401" s="40"/>
      <c r="EO401" s="40"/>
      <c r="EP401" s="40"/>
      <c r="EQ401" s="40"/>
      <c r="ER401" s="40"/>
      <c r="ES401" s="40"/>
      <c r="ET401" s="40"/>
      <c r="EU401" s="40"/>
      <c r="EV401" s="40"/>
      <c r="EW401" s="40"/>
      <c r="EX401" s="40"/>
      <c r="EY401" s="40"/>
      <c r="EZ401" s="40"/>
      <c r="FA401" s="40"/>
      <c r="FB401" s="40"/>
      <c r="FC401" s="40"/>
      <c r="FD401" s="40"/>
      <c r="FE401" s="40"/>
      <c r="FF401" s="40"/>
      <c r="FG401" s="40"/>
      <c r="FH401" s="40"/>
      <c r="FI401" s="40"/>
      <c r="FJ401" s="40"/>
      <c r="FK401" s="40"/>
      <c r="FL401" s="40"/>
      <c r="FM401" s="40"/>
      <c r="FN401" s="40"/>
      <c r="FO401" s="40"/>
      <c r="FP401" s="40"/>
      <c r="FQ401" s="40"/>
      <c r="FR401" s="40"/>
      <c r="FS401" s="40"/>
      <c r="FT401" s="40"/>
      <c r="FU401" s="40"/>
      <c r="FV401" s="40"/>
      <c r="FW401" s="40"/>
      <c r="FX401" s="40"/>
      <c r="FY401" s="40"/>
      <c r="FZ401" s="40"/>
      <c r="GA401" s="40"/>
      <c r="GB401" s="40"/>
      <c r="GC401" s="40"/>
      <c r="GD401" s="40"/>
      <c r="GE401" s="40"/>
      <c r="GF401" s="40"/>
      <c r="GG401" s="40"/>
      <c r="GH401" s="40"/>
      <c r="GI401" s="40"/>
      <c r="GJ401" s="40"/>
      <c r="GK401" s="40"/>
      <c r="GL401" s="40"/>
      <c r="GM401" s="40"/>
      <c r="GN401" s="40"/>
      <c r="GO401" s="40"/>
      <c r="GP401" s="40"/>
      <c r="GQ401" s="40"/>
      <c r="GR401" s="40"/>
      <c r="GS401" s="40"/>
      <c r="GT401" s="40"/>
      <c r="GU401" s="40"/>
      <c r="GV401" s="40"/>
      <c r="GW401" s="40"/>
      <c r="GX401" s="40"/>
      <c r="GY401" s="40"/>
      <c r="GZ401" s="40"/>
      <c r="HA401" s="40"/>
      <c r="HB401" s="40"/>
      <c r="HC401" s="40"/>
      <c r="HD401" s="40"/>
      <c r="HE401" s="40"/>
      <c r="HF401" s="40"/>
      <c r="HG401" s="40"/>
      <c r="HH401" s="40"/>
      <c r="HI401" s="40"/>
      <c r="HJ401" s="40"/>
      <c r="HK401" s="40"/>
      <c r="HL401" s="40"/>
      <c r="HM401" s="40"/>
      <c r="HN401" s="40"/>
      <c r="HO401" s="40"/>
      <c r="HP401" s="40"/>
      <c r="HQ401" s="40"/>
      <c r="HR401" s="40"/>
      <c r="HS401" s="40"/>
      <c r="HT401" s="40"/>
      <c r="HU401" s="40"/>
      <c r="HV401" s="40"/>
      <c r="HW401" s="40"/>
      <c r="HX401" s="40"/>
      <c r="HY401" s="40"/>
      <c r="HZ401" s="40"/>
      <c r="IA401" s="40"/>
      <c r="IB401" s="40"/>
      <c r="IC401" s="40"/>
      <c r="ID401" s="40"/>
      <c r="IE401" s="40"/>
      <c r="IF401" s="40"/>
      <c r="IG401" s="40"/>
      <c r="IH401" s="40"/>
      <c r="II401" s="40"/>
      <c r="IJ401" s="40"/>
      <c r="IK401" s="40"/>
      <c r="IL401" s="40"/>
      <c r="IM401" s="40"/>
      <c r="IN401" s="40"/>
      <c r="IO401" s="40"/>
      <c r="IP401" s="40"/>
      <c r="IQ401" s="40"/>
      <c r="IR401" s="40"/>
      <c r="IS401" s="40"/>
      <c r="IT401" s="40"/>
      <c r="IU401" s="40"/>
      <c r="IV401" s="40"/>
      <c r="IW401" s="40"/>
      <c r="IX401" s="40"/>
      <c r="IY401" s="40"/>
      <c r="IZ401" s="40"/>
      <c r="JA401" s="40"/>
      <c r="JB401" s="40"/>
      <c r="JC401" s="40"/>
      <c r="JD401" s="40"/>
      <c r="JE401" s="40"/>
      <c r="JF401" s="40"/>
      <c r="JG401" s="40"/>
      <c r="JH401" s="40"/>
      <c r="JI401" s="40"/>
      <c r="JJ401" s="40"/>
    </row>
    <row r="402" spans="1:270" ht="39.950000000000003" customHeight="1" outlineLevel="1" x14ac:dyDescent="0.3">
      <c r="A402" s="17" t="s">
        <v>524</v>
      </c>
      <c r="B402" s="12" t="s">
        <v>530</v>
      </c>
      <c r="C402" s="9" t="s">
        <v>30</v>
      </c>
      <c r="D402" s="66" t="s">
        <v>531</v>
      </c>
      <c r="E402" s="158">
        <f t="shared" ref="E402:E416" si="81">F402+G402</f>
        <v>359.34941000000003</v>
      </c>
      <c r="F402" s="159">
        <f t="shared" ref="F402:F416" si="82">H402+L402+Q402+Y402+T402+AK402+AP402+AM402+AR402+AU402+AW402+BB402+BJ402</f>
        <v>111.49751000000001</v>
      </c>
      <c r="G402" s="160">
        <f t="shared" ref="G402:G416" si="83">I402+J402+K402+M402+N402+R402+S402+V402+W402+AD402+O402+X402+Z402+AA402+AB402+AC402+AE402+AF402+P402+U402+AG402+AH402+AI402+AO402+AJ402+AL402+AQ402+AN402+AS402+AV402+AX402+AY402+AZ402+BA402+BC402+BD402+BE402+BF402+BG402+BH402+BI402+AT402+BK402+BL402+BN402+BO402+BP402+BQ402+BM402</f>
        <v>247.8519</v>
      </c>
      <c r="H402" s="166"/>
      <c r="I402" s="165"/>
      <c r="J402" s="160"/>
      <c r="K402" s="160"/>
      <c r="L402" s="166">
        <v>111.49751000000001</v>
      </c>
      <c r="M402" s="165">
        <v>174.75190000000001</v>
      </c>
      <c r="N402" s="165"/>
      <c r="O402" s="165"/>
      <c r="P402" s="160"/>
      <c r="Q402" s="166"/>
      <c r="R402" s="165"/>
      <c r="S402" s="165">
        <v>73.099999999999994</v>
      </c>
      <c r="T402" s="159"/>
      <c r="U402" s="160"/>
      <c r="V402" s="165"/>
      <c r="W402" s="165"/>
      <c r="X402" s="160"/>
      <c r="Y402" s="166"/>
      <c r="Z402" s="160"/>
      <c r="AA402" s="160"/>
      <c r="AB402" s="165"/>
      <c r="AC402" s="165"/>
      <c r="AD402" s="165"/>
      <c r="AE402" s="165"/>
      <c r="AF402" s="160"/>
      <c r="AG402" s="160"/>
      <c r="AH402" s="160"/>
      <c r="AI402" s="160"/>
      <c r="AJ402" s="161"/>
      <c r="AK402" s="162"/>
      <c r="AL402" s="165"/>
      <c r="AM402" s="166"/>
      <c r="AN402" s="165"/>
      <c r="AO402" s="160"/>
      <c r="AP402" s="162"/>
      <c r="AQ402" s="161"/>
      <c r="AR402" s="162"/>
      <c r="AS402" s="161"/>
      <c r="AT402" s="165"/>
      <c r="AU402" s="166"/>
      <c r="AV402" s="165"/>
      <c r="AW402" s="166"/>
      <c r="AX402" s="165"/>
      <c r="AY402" s="165"/>
      <c r="AZ402" s="165"/>
      <c r="BA402" s="165"/>
      <c r="BB402" s="166"/>
      <c r="BC402" s="165"/>
      <c r="BD402" s="165"/>
      <c r="BE402" s="165"/>
      <c r="BF402" s="165"/>
      <c r="BG402" s="165"/>
      <c r="BH402" s="165"/>
      <c r="BI402" s="165"/>
      <c r="BJ402" s="166"/>
      <c r="BK402" s="165"/>
      <c r="BL402" s="165"/>
      <c r="BM402" s="163"/>
      <c r="BN402" s="165"/>
      <c r="BO402" s="165"/>
      <c r="BP402" s="165"/>
      <c r="BQ402" s="167"/>
    </row>
    <row r="403" spans="1:270" ht="39.950000000000003" customHeight="1" outlineLevel="1" x14ac:dyDescent="0.3">
      <c r="A403" s="17" t="s">
        <v>524</v>
      </c>
      <c r="B403" s="12" t="s">
        <v>528</v>
      </c>
      <c r="C403" s="9" t="s">
        <v>30</v>
      </c>
      <c r="D403" s="66" t="s">
        <v>529</v>
      </c>
      <c r="E403" s="158">
        <f t="shared" si="81"/>
        <v>1671.7270199999998</v>
      </c>
      <c r="F403" s="159">
        <f t="shared" si="82"/>
        <v>699.22725000000003</v>
      </c>
      <c r="G403" s="160">
        <f t="shared" si="83"/>
        <v>972.4997699999999</v>
      </c>
      <c r="H403" s="166">
        <v>344.86200000000002</v>
      </c>
      <c r="I403" s="165">
        <v>114.95399999999999</v>
      </c>
      <c r="J403" s="160"/>
      <c r="K403" s="160"/>
      <c r="L403" s="166">
        <v>354.36525</v>
      </c>
      <c r="M403" s="170">
        <v>555.40252999999996</v>
      </c>
      <c r="N403" s="170"/>
      <c r="O403" s="165"/>
      <c r="P403" s="160"/>
      <c r="Q403" s="166"/>
      <c r="R403" s="165"/>
      <c r="S403" s="165"/>
      <c r="T403" s="159"/>
      <c r="U403" s="160"/>
      <c r="V403" s="165"/>
      <c r="W403" s="165"/>
      <c r="X403" s="160"/>
      <c r="Y403" s="166"/>
      <c r="Z403" s="160"/>
      <c r="AA403" s="160"/>
      <c r="AB403" s="165"/>
      <c r="AC403" s="165"/>
      <c r="AD403" s="165"/>
      <c r="AE403" s="165"/>
      <c r="AF403" s="160"/>
      <c r="AG403" s="160">
        <f>39.19919+6.2194</f>
        <v>45.418590000000002</v>
      </c>
      <c r="AH403" s="160"/>
      <c r="AI403" s="160"/>
      <c r="AJ403" s="161"/>
      <c r="AK403" s="162"/>
      <c r="AL403" s="165"/>
      <c r="AM403" s="166"/>
      <c r="AN403" s="165"/>
      <c r="AO403" s="160"/>
      <c r="AP403" s="162"/>
      <c r="AQ403" s="161"/>
      <c r="AR403" s="162"/>
      <c r="AS403" s="161"/>
      <c r="AT403" s="165"/>
      <c r="AU403" s="166"/>
      <c r="AV403" s="165"/>
      <c r="AW403" s="166"/>
      <c r="AX403" s="165"/>
      <c r="AY403" s="165"/>
      <c r="AZ403" s="165"/>
      <c r="BA403" s="165"/>
      <c r="BB403" s="166"/>
      <c r="BC403" s="165"/>
      <c r="BD403" s="165"/>
      <c r="BE403" s="165">
        <v>256.72465</v>
      </c>
      <c r="BF403" s="165"/>
      <c r="BG403" s="165"/>
      <c r="BH403" s="165"/>
      <c r="BI403" s="165"/>
      <c r="BJ403" s="166"/>
      <c r="BK403" s="165"/>
      <c r="BL403" s="165"/>
      <c r="BM403" s="163"/>
      <c r="BN403" s="165"/>
      <c r="BO403" s="165"/>
      <c r="BP403" s="165"/>
      <c r="BQ403" s="167"/>
    </row>
    <row r="404" spans="1:270" ht="39.950000000000003" customHeight="1" outlineLevel="1" x14ac:dyDescent="0.3">
      <c r="A404" s="12" t="s">
        <v>524</v>
      </c>
      <c r="B404" s="10" t="s">
        <v>532</v>
      </c>
      <c r="C404" s="9" t="s">
        <v>30</v>
      </c>
      <c r="D404" s="66" t="s">
        <v>533</v>
      </c>
      <c r="E404" s="158">
        <f t="shared" si="81"/>
        <v>79.806210000000007</v>
      </c>
      <c r="F404" s="159">
        <f t="shared" si="82"/>
        <v>31.085460000000001</v>
      </c>
      <c r="G404" s="160">
        <f t="shared" si="83"/>
        <v>48.720750000000002</v>
      </c>
      <c r="H404" s="166"/>
      <c r="I404" s="165"/>
      <c r="J404" s="160"/>
      <c r="K404" s="160"/>
      <c r="L404" s="166">
        <v>31.085460000000001</v>
      </c>
      <c r="M404" s="165">
        <v>48.720750000000002</v>
      </c>
      <c r="N404" s="165"/>
      <c r="O404" s="165"/>
      <c r="P404" s="160"/>
      <c r="Q404" s="166"/>
      <c r="R404" s="165"/>
      <c r="S404" s="165"/>
      <c r="T404" s="159"/>
      <c r="U404" s="160"/>
      <c r="V404" s="165"/>
      <c r="W404" s="165"/>
      <c r="X404" s="160"/>
      <c r="Y404" s="166"/>
      <c r="Z404" s="160"/>
      <c r="AA404" s="160"/>
      <c r="AB404" s="165"/>
      <c r="AC404" s="165"/>
      <c r="AD404" s="165"/>
      <c r="AE404" s="165"/>
      <c r="AF404" s="160"/>
      <c r="AG404" s="160"/>
      <c r="AH404" s="160"/>
      <c r="AI404" s="160"/>
      <c r="AJ404" s="161"/>
      <c r="AK404" s="162"/>
      <c r="AL404" s="165"/>
      <c r="AM404" s="166"/>
      <c r="AN404" s="165"/>
      <c r="AO404" s="160"/>
      <c r="AP404" s="162"/>
      <c r="AQ404" s="161"/>
      <c r="AR404" s="162"/>
      <c r="AS404" s="161"/>
      <c r="AT404" s="165"/>
      <c r="AU404" s="166"/>
      <c r="AV404" s="165"/>
      <c r="AW404" s="166"/>
      <c r="AX404" s="165"/>
      <c r="AY404" s="165"/>
      <c r="AZ404" s="165"/>
      <c r="BA404" s="165"/>
      <c r="BB404" s="166"/>
      <c r="BC404" s="165"/>
      <c r="BD404" s="165"/>
      <c r="BE404" s="165"/>
      <c r="BF404" s="165"/>
      <c r="BG404" s="165"/>
      <c r="BH404" s="165"/>
      <c r="BI404" s="165"/>
      <c r="BJ404" s="166"/>
      <c r="BK404" s="165"/>
      <c r="BL404" s="165"/>
      <c r="BM404" s="163"/>
      <c r="BN404" s="165"/>
      <c r="BO404" s="165"/>
      <c r="BP404" s="165"/>
      <c r="BQ404" s="167"/>
    </row>
    <row r="405" spans="1:270" ht="39.950000000000003" customHeight="1" outlineLevel="1" x14ac:dyDescent="0.3">
      <c r="A405" s="17" t="s">
        <v>524</v>
      </c>
      <c r="B405" s="12" t="s">
        <v>1295</v>
      </c>
      <c r="C405" s="9" t="s">
        <v>30</v>
      </c>
      <c r="D405" s="66" t="s">
        <v>527</v>
      </c>
      <c r="E405" s="158">
        <f t="shared" si="81"/>
        <v>741.81394</v>
      </c>
      <c r="F405" s="159">
        <f t="shared" si="82"/>
        <v>75.076409999999996</v>
      </c>
      <c r="G405" s="160">
        <f t="shared" si="83"/>
        <v>666.73752999999999</v>
      </c>
      <c r="H405" s="166"/>
      <c r="I405" s="165"/>
      <c r="J405" s="160"/>
      <c r="K405" s="160"/>
      <c r="L405" s="166">
        <v>75.076409999999996</v>
      </c>
      <c r="M405" s="165">
        <v>117.66849000000001</v>
      </c>
      <c r="N405" s="165"/>
      <c r="O405" s="165"/>
      <c r="P405" s="160"/>
      <c r="Q405" s="166"/>
      <c r="R405" s="165"/>
      <c r="S405" s="165"/>
      <c r="T405" s="159"/>
      <c r="U405" s="160"/>
      <c r="V405" s="165"/>
      <c r="W405" s="165"/>
      <c r="X405" s="160"/>
      <c r="Y405" s="166"/>
      <c r="Z405" s="160"/>
      <c r="AA405" s="160"/>
      <c r="AB405" s="165"/>
      <c r="AC405" s="165"/>
      <c r="AD405" s="165"/>
      <c r="AE405" s="165"/>
      <c r="AF405" s="160"/>
      <c r="AG405" s="160"/>
      <c r="AH405" s="160"/>
      <c r="AI405" s="160"/>
      <c r="AJ405" s="161"/>
      <c r="AK405" s="162"/>
      <c r="AL405" s="165"/>
      <c r="AM405" s="166"/>
      <c r="AN405" s="165"/>
      <c r="AO405" s="160"/>
      <c r="AP405" s="162"/>
      <c r="AQ405" s="161"/>
      <c r="AR405" s="162"/>
      <c r="AS405" s="161"/>
      <c r="AT405" s="165"/>
      <c r="AU405" s="166"/>
      <c r="AV405" s="165"/>
      <c r="AW405" s="166"/>
      <c r="AX405" s="165"/>
      <c r="AY405" s="165"/>
      <c r="AZ405" s="165"/>
      <c r="BA405" s="165"/>
      <c r="BB405" s="166"/>
      <c r="BC405" s="165"/>
      <c r="BD405" s="165"/>
      <c r="BE405" s="165"/>
      <c r="BF405" s="165"/>
      <c r="BG405" s="165"/>
      <c r="BH405" s="165"/>
      <c r="BI405" s="165"/>
      <c r="BJ405" s="166"/>
      <c r="BK405" s="165"/>
      <c r="BL405" s="165"/>
      <c r="BM405" s="163"/>
      <c r="BN405" s="165"/>
      <c r="BO405" s="165">
        <v>549.06903999999997</v>
      </c>
      <c r="BP405" s="165"/>
      <c r="BQ405" s="167"/>
    </row>
    <row r="406" spans="1:270" ht="39.950000000000003" customHeight="1" outlineLevel="1" x14ac:dyDescent="0.3">
      <c r="A406" s="17" t="s">
        <v>524</v>
      </c>
      <c r="B406" s="12" t="s">
        <v>534</v>
      </c>
      <c r="C406" s="9" t="s">
        <v>30</v>
      </c>
      <c r="D406" s="66" t="s">
        <v>535</v>
      </c>
      <c r="E406" s="158">
        <f t="shared" si="81"/>
        <v>67.364440000000002</v>
      </c>
      <c r="F406" s="159">
        <f t="shared" si="82"/>
        <v>26.239239999999999</v>
      </c>
      <c r="G406" s="160">
        <f t="shared" si="83"/>
        <v>41.1252</v>
      </c>
      <c r="H406" s="166"/>
      <c r="I406" s="165"/>
      <c r="J406" s="160"/>
      <c r="K406" s="160"/>
      <c r="L406" s="166">
        <v>26.239239999999999</v>
      </c>
      <c r="M406" s="165">
        <v>41.1252</v>
      </c>
      <c r="N406" s="165"/>
      <c r="O406" s="165"/>
      <c r="P406" s="160"/>
      <c r="Q406" s="166"/>
      <c r="R406" s="165"/>
      <c r="S406" s="165"/>
      <c r="T406" s="159"/>
      <c r="U406" s="160"/>
      <c r="V406" s="165"/>
      <c r="W406" s="165"/>
      <c r="X406" s="160"/>
      <c r="Y406" s="166"/>
      <c r="Z406" s="160"/>
      <c r="AA406" s="160"/>
      <c r="AB406" s="165"/>
      <c r="AC406" s="165"/>
      <c r="AD406" s="165"/>
      <c r="AE406" s="165"/>
      <c r="AF406" s="160"/>
      <c r="AG406" s="160"/>
      <c r="AH406" s="160"/>
      <c r="AI406" s="160"/>
      <c r="AJ406" s="161"/>
      <c r="AK406" s="162"/>
      <c r="AL406" s="165"/>
      <c r="AM406" s="166"/>
      <c r="AN406" s="165"/>
      <c r="AO406" s="160"/>
      <c r="AP406" s="162"/>
      <c r="AQ406" s="161"/>
      <c r="AR406" s="162"/>
      <c r="AS406" s="161"/>
      <c r="AT406" s="165"/>
      <c r="AU406" s="166"/>
      <c r="AV406" s="165"/>
      <c r="AW406" s="166"/>
      <c r="AX406" s="165"/>
      <c r="AY406" s="165"/>
      <c r="AZ406" s="165"/>
      <c r="BA406" s="165"/>
      <c r="BB406" s="166"/>
      <c r="BC406" s="165"/>
      <c r="BD406" s="165"/>
      <c r="BE406" s="165"/>
      <c r="BF406" s="165"/>
      <c r="BG406" s="165"/>
      <c r="BH406" s="165"/>
      <c r="BI406" s="165"/>
      <c r="BJ406" s="166"/>
      <c r="BK406" s="165"/>
      <c r="BL406" s="165"/>
      <c r="BM406" s="163"/>
      <c r="BN406" s="165"/>
      <c r="BO406" s="165"/>
      <c r="BP406" s="165"/>
      <c r="BQ406" s="167"/>
    </row>
    <row r="407" spans="1:270" ht="39.950000000000003" customHeight="1" outlineLevel="1" x14ac:dyDescent="0.3">
      <c r="A407" s="29" t="s">
        <v>524</v>
      </c>
      <c r="B407" s="30" t="s">
        <v>536</v>
      </c>
      <c r="C407" s="31" t="s">
        <v>30</v>
      </c>
      <c r="D407" s="66" t="s">
        <v>537</v>
      </c>
      <c r="E407" s="158">
        <f t="shared" si="81"/>
        <v>204.05712</v>
      </c>
      <c r="F407" s="159">
        <f t="shared" si="82"/>
        <v>48.019880000000001</v>
      </c>
      <c r="G407" s="160">
        <f t="shared" si="83"/>
        <v>156.03724</v>
      </c>
      <c r="H407" s="166"/>
      <c r="I407" s="165"/>
      <c r="J407" s="160"/>
      <c r="K407" s="160"/>
      <c r="L407" s="166">
        <v>48.019880000000001</v>
      </c>
      <c r="M407" s="165">
        <v>75.262360000000001</v>
      </c>
      <c r="N407" s="165"/>
      <c r="O407" s="165"/>
      <c r="P407" s="160"/>
      <c r="Q407" s="166"/>
      <c r="R407" s="165"/>
      <c r="S407" s="165"/>
      <c r="T407" s="159"/>
      <c r="U407" s="160"/>
      <c r="V407" s="165"/>
      <c r="W407" s="165"/>
      <c r="X407" s="160"/>
      <c r="Y407" s="166"/>
      <c r="Z407" s="160"/>
      <c r="AA407" s="160"/>
      <c r="AB407" s="165"/>
      <c r="AC407" s="165"/>
      <c r="AD407" s="165"/>
      <c r="AE407" s="165"/>
      <c r="AF407" s="160"/>
      <c r="AG407" s="160"/>
      <c r="AH407" s="160"/>
      <c r="AI407" s="160"/>
      <c r="AJ407" s="161"/>
      <c r="AK407" s="162"/>
      <c r="AL407" s="165"/>
      <c r="AM407" s="166"/>
      <c r="AN407" s="165"/>
      <c r="AO407" s="160"/>
      <c r="AP407" s="162"/>
      <c r="AQ407" s="161"/>
      <c r="AR407" s="162"/>
      <c r="AS407" s="161"/>
      <c r="AT407" s="165"/>
      <c r="AU407" s="166"/>
      <c r="AV407" s="165"/>
      <c r="AW407" s="166"/>
      <c r="AX407" s="165"/>
      <c r="AY407" s="165">
        <v>80.774879999999996</v>
      </c>
      <c r="AZ407" s="165"/>
      <c r="BA407" s="165"/>
      <c r="BB407" s="166"/>
      <c r="BC407" s="165"/>
      <c r="BD407" s="165"/>
      <c r="BE407" s="165"/>
      <c r="BF407" s="165"/>
      <c r="BG407" s="165"/>
      <c r="BH407" s="165"/>
      <c r="BI407" s="165"/>
      <c r="BJ407" s="166"/>
      <c r="BK407" s="165"/>
      <c r="BL407" s="165"/>
      <c r="BM407" s="163"/>
      <c r="BN407" s="165"/>
      <c r="BO407" s="165"/>
      <c r="BP407" s="165"/>
      <c r="BQ407" s="167"/>
    </row>
    <row r="408" spans="1:270" ht="39.950000000000003" customHeight="1" outlineLevel="1" x14ac:dyDescent="0.3">
      <c r="A408" s="17" t="s">
        <v>524</v>
      </c>
      <c r="B408" s="37" t="s">
        <v>1284</v>
      </c>
      <c r="C408" s="9" t="s">
        <v>30</v>
      </c>
      <c r="D408" s="66" t="s">
        <v>542</v>
      </c>
      <c r="E408" s="158">
        <f t="shared" si="81"/>
        <v>107.12924</v>
      </c>
      <c r="F408" s="159">
        <f t="shared" si="82"/>
        <v>41.728099999999998</v>
      </c>
      <c r="G408" s="160">
        <f t="shared" si="83"/>
        <v>65.401139999999998</v>
      </c>
      <c r="H408" s="166"/>
      <c r="I408" s="165"/>
      <c r="J408" s="160"/>
      <c r="K408" s="160"/>
      <c r="L408" s="166">
        <v>41.728099999999998</v>
      </c>
      <c r="M408" s="165">
        <v>65.401139999999998</v>
      </c>
      <c r="N408" s="165"/>
      <c r="O408" s="165"/>
      <c r="P408" s="160"/>
      <c r="Q408" s="166"/>
      <c r="R408" s="165"/>
      <c r="S408" s="165"/>
      <c r="T408" s="159"/>
      <c r="U408" s="160"/>
      <c r="V408" s="165"/>
      <c r="W408" s="165"/>
      <c r="X408" s="160"/>
      <c r="Y408" s="166"/>
      <c r="Z408" s="160"/>
      <c r="AA408" s="160"/>
      <c r="AB408" s="165"/>
      <c r="AC408" s="165"/>
      <c r="AD408" s="165"/>
      <c r="AE408" s="165"/>
      <c r="AF408" s="160"/>
      <c r="AG408" s="160"/>
      <c r="AH408" s="160"/>
      <c r="AI408" s="160"/>
      <c r="AJ408" s="161"/>
      <c r="AK408" s="162"/>
      <c r="AL408" s="165"/>
      <c r="AM408" s="166"/>
      <c r="AN408" s="165"/>
      <c r="AO408" s="160"/>
      <c r="AP408" s="162"/>
      <c r="AQ408" s="161"/>
      <c r="AR408" s="162"/>
      <c r="AS408" s="161"/>
      <c r="AT408" s="165"/>
      <c r="AU408" s="166"/>
      <c r="AV408" s="165"/>
      <c r="AW408" s="166"/>
      <c r="AX408" s="165"/>
      <c r="AY408" s="165"/>
      <c r="AZ408" s="165"/>
      <c r="BA408" s="165"/>
      <c r="BB408" s="166"/>
      <c r="BC408" s="165"/>
      <c r="BD408" s="165"/>
      <c r="BE408" s="165"/>
      <c r="BF408" s="165"/>
      <c r="BG408" s="165"/>
      <c r="BH408" s="165"/>
      <c r="BI408" s="165"/>
      <c r="BJ408" s="166"/>
      <c r="BK408" s="165"/>
      <c r="BL408" s="165"/>
      <c r="BM408" s="163"/>
      <c r="BN408" s="165"/>
      <c r="BO408" s="165"/>
      <c r="BP408" s="165"/>
      <c r="BQ408" s="167"/>
    </row>
    <row r="409" spans="1:270" s="32" customFormat="1" ht="39.950000000000003" customHeight="1" outlineLevel="1" x14ac:dyDescent="0.3">
      <c r="A409" s="17" t="s">
        <v>524</v>
      </c>
      <c r="B409" s="12" t="s">
        <v>540</v>
      </c>
      <c r="C409" s="9" t="s">
        <v>30</v>
      </c>
      <c r="D409" s="66" t="s">
        <v>541</v>
      </c>
      <c r="E409" s="158">
        <f t="shared" si="81"/>
        <v>238.02904999999998</v>
      </c>
      <c r="F409" s="159">
        <f t="shared" si="82"/>
        <v>92.715109999999996</v>
      </c>
      <c r="G409" s="160">
        <f t="shared" si="83"/>
        <v>145.31394</v>
      </c>
      <c r="H409" s="166"/>
      <c r="I409" s="165"/>
      <c r="J409" s="160"/>
      <c r="K409" s="160"/>
      <c r="L409" s="166">
        <v>92.715109999999996</v>
      </c>
      <c r="M409" s="165">
        <v>145.31394</v>
      </c>
      <c r="N409" s="165"/>
      <c r="O409" s="165"/>
      <c r="P409" s="160"/>
      <c r="Q409" s="166"/>
      <c r="R409" s="165"/>
      <c r="S409" s="165"/>
      <c r="T409" s="159"/>
      <c r="U409" s="160"/>
      <c r="V409" s="165"/>
      <c r="W409" s="165"/>
      <c r="X409" s="160"/>
      <c r="Y409" s="166"/>
      <c r="Z409" s="160"/>
      <c r="AA409" s="160"/>
      <c r="AB409" s="165"/>
      <c r="AC409" s="165"/>
      <c r="AD409" s="165"/>
      <c r="AE409" s="165"/>
      <c r="AF409" s="160"/>
      <c r="AG409" s="160"/>
      <c r="AH409" s="160"/>
      <c r="AI409" s="160"/>
      <c r="AJ409" s="161"/>
      <c r="AK409" s="162"/>
      <c r="AL409" s="165"/>
      <c r="AM409" s="166"/>
      <c r="AN409" s="165"/>
      <c r="AO409" s="160"/>
      <c r="AP409" s="162"/>
      <c r="AQ409" s="161"/>
      <c r="AR409" s="162"/>
      <c r="AS409" s="161"/>
      <c r="AT409" s="165"/>
      <c r="AU409" s="166"/>
      <c r="AV409" s="165"/>
      <c r="AW409" s="166"/>
      <c r="AX409" s="165"/>
      <c r="AY409" s="165"/>
      <c r="AZ409" s="165"/>
      <c r="BA409" s="165"/>
      <c r="BB409" s="166"/>
      <c r="BC409" s="165"/>
      <c r="BD409" s="165"/>
      <c r="BE409" s="165"/>
      <c r="BF409" s="165"/>
      <c r="BG409" s="165"/>
      <c r="BH409" s="165"/>
      <c r="BI409" s="165"/>
      <c r="BJ409" s="166"/>
      <c r="BK409" s="165"/>
      <c r="BL409" s="165"/>
      <c r="BM409" s="163"/>
      <c r="BN409" s="165"/>
      <c r="BO409" s="165"/>
      <c r="BP409" s="165"/>
      <c r="BQ409" s="167"/>
      <c r="BR409" s="41"/>
      <c r="BS409" s="41"/>
      <c r="BT409" s="41"/>
      <c r="BU409" s="41"/>
      <c r="BV409" s="41"/>
      <c r="BW409" s="41"/>
      <c r="BX409" s="41"/>
      <c r="BY409" s="41"/>
      <c r="BZ409" s="41"/>
      <c r="CA409" s="41"/>
      <c r="CB409" s="41"/>
      <c r="CC409" s="41"/>
      <c r="CD409" s="41"/>
      <c r="CE409" s="41"/>
      <c r="CF409" s="41"/>
      <c r="CG409" s="41"/>
      <c r="CH409" s="41"/>
      <c r="CI409" s="41"/>
      <c r="CJ409" s="41"/>
      <c r="CK409" s="41"/>
      <c r="CL409" s="41"/>
      <c r="CM409" s="41"/>
      <c r="CN409" s="41"/>
      <c r="CO409" s="41"/>
      <c r="CP409" s="41"/>
      <c r="CQ409" s="41"/>
      <c r="CR409" s="41"/>
      <c r="CS409" s="41"/>
      <c r="CT409" s="41"/>
      <c r="CU409" s="41"/>
      <c r="CV409" s="41"/>
      <c r="CW409" s="41"/>
      <c r="CX409" s="41"/>
      <c r="CY409" s="41"/>
      <c r="CZ409" s="41"/>
      <c r="DA409" s="41"/>
      <c r="DB409" s="41"/>
      <c r="DC409" s="41"/>
      <c r="DD409" s="41"/>
      <c r="DE409" s="41"/>
      <c r="DF409" s="41"/>
      <c r="DG409" s="41"/>
      <c r="DH409" s="41"/>
      <c r="DI409" s="41"/>
      <c r="DJ409" s="41"/>
      <c r="DK409" s="41"/>
      <c r="DL409" s="41"/>
      <c r="DM409" s="41"/>
      <c r="DN409" s="41"/>
      <c r="DO409" s="41"/>
      <c r="DP409" s="41"/>
      <c r="DQ409" s="41"/>
      <c r="DR409" s="41"/>
      <c r="DS409" s="41"/>
      <c r="DT409" s="41"/>
      <c r="DU409" s="41"/>
      <c r="DV409" s="41"/>
      <c r="DW409" s="41"/>
      <c r="DX409" s="41"/>
      <c r="DY409" s="41"/>
      <c r="DZ409" s="41"/>
      <c r="EA409" s="41"/>
      <c r="EB409" s="41"/>
      <c r="EC409" s="41"/>
      <c r="ED409" s="41"/>
      <c r="EE409" s="41"/>
      <c r="EF409" s="41"/>
      <c r="EG409" s="41"/>
      <c r="EH409" s="41"/>
      <c r="EI409" s="41"/>
      <c r="EJ409" s="41"/>
      <c r="EK409" s="41"/>
      <c r="EL409" s="41"/>
      <c r="EM409" s="41"/>
      <c r="EN409" s="41"/>
      <c r="EO409" s="41"/>
      <c r="EP409" s="41"/>
      <c r="EQ409" s="41"/>
      <c r="ER409" s="41"/>
      <c r="ES409" s="41"/>
      <c r="ET409" s="41"/>
      <c r="EU409" s="41"/>
      <c r="EV409" s="41"/>
      <c r="EW409" s="41"/>
      <c r="EX409" s="41"/>
      <c r="EY409" s="41"/>
      <c r="EZ409" s="41"/>
      <c r="FA409" s="41"/>
      <c r="FB409" s="41"/>
      <c r="FC409" s="41"/>
      <c r="FD409" s="41"/>
      <c r="FE409" s="41"/>
      <c r="FF409" s="41"/>
      <c r="FG409" s="41"/>
      <c r="FH409" s="41"/>
      <c r="FI409" s="41"/>
      <c r="FJ409" s="41"/>
      <c r="FK409" s="41"/>
      <c r="FL409" s="41"/>
      <c r="FM409" s="41"/>
      <c r="FN409" s="41"/>
      <c r="FO409" s="41"/>
      <c r="FP409" s="41"/>
      <c r="FQ409" s="41"/>
      <c r="FR409" s="41"/>
      <c r="FS409" s="41"/>
      <c r="FT409" s="41"/>
      <c r="FU409" s="41"/>
      <c r="FV409" s="41"/>
      <c r="FW409" s="41"/>
      <c r="FX409" s="41"/>
      <c r="FY409" s="41"/>
      <c r="FZ409" s="41"/>
      <c r="GA409" s="41"/>
      <c r="GB409" s="41"/>
      <c r="GC409" s="41"/>
      <c r="GD409" s="41"/>
      <c r="GE409" s="41"/>
      <c r="GF409" s="41"/>
      <c r="GG409" s="41"/>
      <c r="GH409" s="41"/>
      <c r="GI409" s="41"/>
      <c r="GJ409" s="41"/>
      <c r="GK409" s="41"/>
      <c r="GL409" s="41"/>
      <c r="GM409" s="41"/>
      <c r="GN409" s="41"/>
      <c r="GO409" s="41"/>
      <c r="GP409" s="41"/>
      <c r="GQ409" s="41"/>
      <c r="GR409" s="41"/>
      <c r="GS409" s="41"/>
      <c r="GT409" s="41"/>
      <c r="GU409" s="41"/>
      <c r="GV409" s="41"/>
      <c r="GW409" s="41"/>
      <c r="GX409" s="41"/>
      <c r="GY409" s="41"/>
      <c r="GZ409" s="41"/>
      <c r="HA409" s="41"/>
      <c r="HB409" s="41"/>
      <c r="HC409" s="41"/>
      <c r="HD409" s="41"/>
      <c r="HE409" s="41"/>
      <c r="HF409" s="41"/>
      <c r="HG409" s="41"/>
      <c r="HH409" s="41"/>
      <c r="HI409" s="41"/>
      <c r="HJ409" s="41"/>
      <c r="HK409" s="41"/>
      <c r="HL409" s="41"/>
      <c r="HM409" s="41"/>
      <c r="HN409" s="41"/>
      <c r="HO409" s="41"/>
      <c r="HP409" s="41"/>
      <c r="HQ409" s="41"/>
      <c r="HR409" s="41"/>
      <c r="HS409" s="41"/>
      <c r="HT409" s="41"/>
      <c r="HU409" s="41"/>
      <c r="HV409" s="41"/>
      <c r="HW409" s="41"/>
      <c r="HX409" s="41"/>
      <c r="HY409" s="41"/>
      <c r="HZ409" s="41"/>
      <c r="IA409" s="41"/>
      <c r="IB409" s="41"/>
      <c r="IC409" s="41"/>
      <c r="ID409" s="41"/>
      <c r="IE409" s="41"/>
      <c r="IF409" s="41"/>
      <c r="IG409" s="41"/>
      <c r="IH409" s="41"/>
      <c r="II409" s="41"/>
      <c r="IJ409" s="41"/>
      <c r="IK409" s="41"/>
      <c r="IL409" s="41"/>
      <c r="IM409" s="41"/>
      <c r="IN409" s="41"/>
      <c r="IO409" s="41"/>
      <c r="IP409" s="41"/>
      <c r="IQ409" s="41"/>
      <c r="IR409" s="41"/>
      <c r="IS409" s="41"/>
      <c r="IT409" s="41"/>
      <c r="IU409" s="41"/>
      <c r="IV409" s="41"/>
      <c r="IW409" s="41"/>
      <c r="IX409" s="41"/>
      <c r="IY409" s="41"/>
      <c r="IZ409" s="41"/>
      <c r="JA409" s="41"/>
      <c r="JB409" s="41"/>
      <c r="JC409" s="41"/>
      <c r="JD409" s="41"/>
      <c r="JE409" s="41"/>
      <c r="JF409" s="41"/>
      <c r="JG409" s="41"/>
      <c r="JH409" s="41"/>
      <c r="JI409" s="41"/>
      <c r="JJ409" s="41"/>
    </row>
    <row r="410" spans="1:270" ht="39.950000000000003" customHeight="1" outlineLevel="1" x14ac:dyDescent="0.3">
      <c r="A410" s="17" t="s">
        <v>524</v>
      </c>
      <c r="B410" s="12" t="s">
        <v>1112</v>
      </c>
      <c r="C410" s="9" t="s">
        <v>30</v>
      </c>
      <c r="D410" s="9" t="s">
        <v>1201</v>
      </c>
      <c r="E410" s="158">
        <f t="shared" si="81"/>
        <v>119.59962000000002</v>
      </c>
      <c r="F410" s="159">
        <f t="shared" si="82"/>
        <v>8.9589599999999994</v>
      </c>
      <c r="G410" s="160">
        <f t="shared" si="83"/>
        <v>110.64066000000001</v>
      </c>
      <c r="H410" s="166"/>
      <c r="I410" s="165"/>
      <c r="J410" s="160"/>
      <c r="K410" s="160"/>
      <c r="L410" s="166">
        <v>8.9589599999999994</v>
      </c>
      <c r="M410" s="165">
        <v>14.04152</v>
      </c>
      <c r="N410" s="165"/>
      <c r="O410" s="165"/>
      <c r="P410" s="160"/>
      <c r="Q410" s="166"/>
      <c r="R410" s="165"/>
      <c r="S410" s="165"/>
      <c r="T410" s="159"/>
      <c r="U410" s="160"/>
      <c r="V410" s="165"/>
      <c r="W410" s="165"/>
      <c r="X410" s="160"/>
      <c r="Y410" s="166"/>
      <c r="Z410" s="160"/>
      <c r="AA410" s="160"/>
      <c r="AB410" s="165"/>
      <c r="AC410" s="165"/>
      <c r="AD410" s="165"/>
      <c r="AE410" s="165"/>
      <c r="AF410" s="160"/>
      <c r="AG410" s="160"/>
      <c r="AH410" s="160"/>
      <c r="AI410" s="160"/>
      <c r="AJ410" s="161"/>
      <c r="AK410" s="162"/>
      <c r="AL410" s="165"/>
      <c r="AM410" s="166"/>
      <c r="AN410" s="165"/>
      <c r="AO410" s="160"/>
      <c r="AP410" s="162"/>
      <c r="AQ410" s="161"/>
      <c r="AR410" s="162"/>
      <c r="AS410" s="161"/>
      <c r="AT410" s="165"/>
      <c r="AU410" s="166"/>
      <c r="AV410" s="165"/>
      <c r="AW410" s="166"/>
      <c r="AX410" s="165"/>
      <c r="AY410" s="165"/>
      <c r="AZ410" s="165"/>
      <c r="BA410" s="165"/>
      <c r="BB410" s="166"/>
      <c r="BC410" s="165"/>
      <c r="BD410" s="165"/>
      <c r="BE410" s="165"/>
      <c r="BF410" s="165"/>
      <c r="BG410" s="165"/>
      <c r="BH410" s="165"/>
      <c r="BI410" s="165"/>
      <c r="BJ410" s="166"/>
      <c r="BK410" s="165"/>
      <c r="BL410" s="165"/>
      <c r="BM410" s="163"/>
      <c r="BN410" s="165"/>
      <c r="BO410" s="165">
        <v>96.599140000000006</v>
      </c>
      <c r="BP410" s="165"/>
      <c r="BQ410" s="167"/>
    </row>
    <row r="411" spans="1:270" ht="39.950000000000003" customHeight="1" outlineLevel="1" x14ac:dyDescent="0.3">
      <c r="A411" s="17" t="s">
        <v>524</v>
      </c>
      <c r="B411" s="12" t="s">
        <v>538</v>
      </c>
      <c r="C411" s="9" t="s">
        <v>30</v>
      </c>
      <c r="D411" s="68" t="s">
        <v>539</v>
      </c>
      <c r="E411" s="158">
        <f t="shared" si="81"/>
        <v>149.93976000000001</v>
      </c>
      <c r="F411" s="159">
        <f t="shared" si="82"/>
        <v>58.403300000000002</v>
      </c>
      <c r="G411" s="160">
        <f t="shared" si="83"/>
        <v>91.536460000000005</v>
      </c>
      <c r="H411" s="166"/>
      <c r="I411" s="165"/>
      <c r="J411" s="160"/>
      <c r="K411" s="160"/>
      <c r="L411" s="166">
        <v>58.403300000000002</v>
      </c>
      <c r="M411" s="165">
        <v>91.536460000000005</v>
      </c>
      <c r="N411" s="165"/>
      <c r="O411" s="165"/>
      <c r="P411" s="160"/>
      <c r="Q411" s="166"/>
      <c r="R411" s="165"/>
      <c r="S411" s="165"/>
      <c r="T411" s="159"/>
      <c r="U411" s="160"/>
      <c r="V411" s="165"/>
      <c r="W411" s="165"/>
      <c r="X411" s="160"/>
      <c r="Y411" s="166"/>
      <c r="Z411" s="160"/>
      <c r="AA411" s="160"/>
      <c r="AB411" s="165"/>
      <c r="AC411" s="165"/>
      <c r="AD411" s="165"/>
      <c r="AE411" s="165"/>
      <c r="AF411" s="160"/>
      <c r="AG411" s="160"/>
      <c r="AH411" s="160"/>
      <c r="AI411" s="160"/>
      <c r="AJ411" s="161"/>
      <c r="AK411" s="162"/>
      <c r="AL411" s="165"/>
      <c r="AM411" s="166"/>
      <c r="AN411" s="165"/>
      <c r="AO411" s="160"/>
      <c r="AP411" s="162"/>
      <c r="AQ411" s="161"/>
      <c r="AR411" s="162"/>
      <c r="AS411" s="161"/>
      <c r="AT411" s="165"/>
      <c r="AU411" s="166"/>
      <c r="AV411" s="165"/>
      <c r="AW411" s="166"/>
      <c r="AX411" s="165"/>
      <c r="AY411" s="165"/>
      <c r="AZ411" s="165"/>
      <c r="BA411" s="165"/>
      <c r="BB411" s="166"/>
      <c r="BC411" s="165"/>
      <c r="BD411" s="165"/>
      <c r="BE411" s="165"/>
      <c r="BF411" s="165"/>
      <c r="BG411" s="165"/>
      <c r="BH411" s="165"/>
      <c r="BI411" s="165"/>
      <c r="BJ411" s="166"/>
      <c r="BK411" s="165"/>
      <c r="BL411" s="165"/>
      <c r="BM411" s="163"/>
      <c r="BN411" s="165"/>
      <c r="BO411" s="165"/>
      <c r="BP411" s="165"/>
      <c r="BQ411" s="167"/>
    </row>
    <row r="412" spans="1:270" ht="39.950000000000003" customHeight="1" outlineLevel="1" x14ac:dyDescent="0.3">
      <c r="A412" s="17" t="s">
        <v>524</v>
      </c>
      <c r="B412" s="12" t="s">
        <v>697</v>
      </c>
      <c r="C412" s="21" t="s">
        <v>30</v>
      </c>
      <c r="D412" s="13" t="s">
        <v>1202</v>
      </c>
      <c r="E412" s="158">
        <f t="shared" si="81"/>
        <v>385.53224999999998</v>
      </c>
      <c r="F412" s="159">
        <f t="shared" si="82"/>
        <v>150.16935000000001</v>
      </c>
      <c r="G412" s="160">
        <f t="shared" si="83"/>
        <v>235.3629</v>
      </c>
      <c r="H412" s="166"/>
      <c r="I412" s="165"/>
      <c r="J412" s="160"/>
      <c r="K412" s="160"/>
      <c r="L412" s="166">
        <v>150.16935000000001</v>
      </c>
      <c r="M412" s="165">
        <v>235.3629</v>
      </c>
      <c r="N412" s="165"/>
      <c r="O412" s="165"/>
      <c r="P412" s="160"/>
      <c r="Q412" s="166"/>
      <c r="R412" s="165"/>
      <c r="S412" s="165"/>
      <c r="T412" s="159"/>
      <c r="U412" s="160"/>
      <c r="V412" s="165"/>
      <c r="W412" s="165"/>
      <c r="X412" s="160"/>
      <c r="Y412" s="166"/>
      <c r="Z412" s="160"/>
      <c r="AA412" s="160"/>
      <c r="AB412" s="165"/>
      <c r="AC412" s="165"/>
      <c r="AD412" s="165"/>
      <c r="AE412" s="165"/>
      <c r="AF412" s="160"/>
      <c r="AG412" s="160"/>
      <c r="AH412" s="160"/>
      <c r="AI412" s="160"/>
      <c r="AJ412" s="161"/>
      <c r="AK412" s="162"/>
      <c r="AL412" s="165"/>
      <c r="AM412" s="166"/>
      <c r="AN412" s="165"/>
      <c r="AO412" s="160"/>
      <c r="AP412" s="162"/>
      <c r="AQ412" s="161"/>
      <c r="AR412" s="162"/>
      <c r="AS412" s="161"/>
      <c r="AT412" s="165"/>
      <c r="AU412" s="166"/>
      <c r="AV412" s="165"/>
      <c r="AW412" s="166"/>
      <c r="AX412" s="165"/>
      <c r="AY412" s="165"/>
      <c r="AZ412" s="165"/>
      <c r="BA412" s="165"/>
      <c r="BB412" s="166"/>
      <c r="BC412" s="165"/>
      <c r="BD412" s="165"/>
      <c r="BE412" s="165"/>
      <c r="BF412" s="165"/>
      <c r="BG412" s="165"/>
      <c r="BH412" s="165"/>
      <c r="BI412" s="165"/>
      <c r="BJ412" s="166"/>
      <c r="BK412" s="165"/>
      <c r="BL412" s="165"/>
      <c r="BM412" s="163"/>
      <c r="BN412" s="165"/>
      <c r="BO412" s="165"/>
      <c r="BP412" s="165"/>
      <c r="BQ412" s="167"/>
    </row>
    <row r="413" spans="1:270" ht="39.950000000000003" customHeight="1" outlineLevel="1" x14ac:dyDescent="0.3">
      <c r="A413" s="17" t="s">
        <v>524</v>
      </c>
      <c r="B413" s="12" t="s">
        <v>1403</v>
      </c>
      <c r="C413" s="21" t="s">
        <v>1497</v>
      </c>
      <c r="D413" s="13" t="s">
        <v>1569</v>
      </c>
      <c r="E413" s="158">
        <f t="shared" si="81"/>
        <v>13945.002630000001</v>
      </c>
      <c r="F413" s="159">
        <f t="shared" si="82"/>
        <v>0</v>
      </c>
      <c r="G413" s="160">
        <f t="shared" si="83"/>
        <v>13945.002630000001</v>
      </c>
      <c r="H413" s="166"/>
      <c r="I413" s="165"/>
      <c r="J413" s="160">
        <v>700</v>
      </c>
      <c r="K413" s="160"/>
      <c r="L413" s="166"/>
      <c r="M413" s="165"/>
      <c r="N413" s="165">
        <v>8660.55645</v>
      </c>
      <c r="O413" s="165">
        <v>139.19999999999999</v>
      </c>
      <c r="P413" s="160"/>
      <c r="Q413" s="166"/>
      <c r="R413" s="165"/>
      <c r="S413" s="165"/>
      <c r="T413" s="159"/>
      <c r="U413" s="160"/>
      <c r="V413" s="165"/>
      <c r="W413" s="165"/>
      <c r="X413" s="160"/>
      <c r="Y413" s="166"/>
      <c r="Z413" s="160"/>
      <c r="AA413" s="160">
        <v>4445.2461800000001</v>
      </c>
      <c r="AB413" s="165"/>
      <c r="AC413" s="165"/>
      <c r="AD413" s="165"/>
      <c r="AE413" s="165"/>
      <c r="AF413" s="160"/>
      <c r="AG413" s="160"/>
      <c r="AH413" s="160"/>
      <c r="AI413" s="160"/>
      <c r="AJ413" s="161"/>
      <c r="AK413" s="162"/>
      <c r="AL413" s="165"/>
      <c r="AM413" s="166"/>
      <c r="AN413" s="165"/>
      <c r="AO413" s="160"/>
      <c r="AP413" s="162"/>
      <c r="AQ413" s="161"/>
      <c r="AR413" s="162"/>
      <c r="AS413" s="161"/>
      <c r="AT413" s="165"/>
      <c r="AU413" s="166"/>
      <c r="AV413" s="165"/>
      <c r="AW413" s="166"/>
      <c r="AX413" s="165"/>
      <c r="AY413" s="165"/>
      <c r="AZ413" s="165"/>
      <c r="BA413" s="165"/>
      <c r="BB413" s="166"/>
      <c r="BC413" s="165"/>
      <c r="BD413" s="165"/>
      <c r="BE413" s="165"/>
      <c r="BF413" s="165"/>
      <c r="BG413" s="165"/>
      <c r="BH413" s="165"/>
      <c r="BI413" s="165"/>
      <c r="BJ413" s="166"/>
      <c r="BK413" s="165"/>
      <c r="BL413" s="165"/>
      <c r="BM413" s="163"/>
      <c r="BN413" s="165"/>
      <c r="BO413" s="165"/>
      <c r="BP413" s="165"/>
      <c r="BQ413" s="167"/>
    </row>
    <row r="414" spans="1:270" ht="39.950000000000003" customHeight="1" outlineLevel="1" x14ac:dyDescent="0.3">
      <c r="A414" s="17" t="s">
        <v>524</v>
      </c>
      <c r="B414" s="12" t="s">
        <v>543</v>
      </c>
      <c r="C414" s="9" t="s">
        <v>73</v>
      </c>
      <c r="D414" s="66" t="s">
        <v>544</v>
      </c>
      <c r="E414" s="158">
        <f t="shared" si="81"/>
        <v>8745.87644</v>
      </c>
      <c r="F414" s="159">
        <f t="shared" si="82"/>
        <v>0</v>
      </c>
      <c r="G414" s="160">
        <f t="shared" si="83"/>
        <v>8745.87644</v>
      </c>
      <c r="H414" s="166"/>
      <c r="I414" s="165"/>
      <c r="J414" s="160"/>
      <c r="K414" s="160"/>
      <c r="L414" s="166"/>
      <c r="M414" s="165"/>
      <c r="N414" s="165"/>
      <c r="O414" s="165"/>
      <c r="P414" s="160"/>
      <c r="Q414" s="166"/>
      <c r="R414" s="165"/>
      <c r="S414" s="165"/>
      <c r="T414" s="159"/>
      <c r="U414" s="160"/>
      <c r="V414" s="165"/>
      <c r="W414" s="165"/>
      <c r="X414" s="160"/>
      <c r="Y414" s="166"/>
      <c r="Z414" s="160"/>
      <c r="AA414" s="160"/>
      <c r="AB414" s="165"/>
      <c r="AC414" s="165"/>
      <c r="AD414" s="165"/>
      <c r="AE414" s="165"/>
      <c r="AF414" s="160"/>
      <c r="AG414" s="160"/>
      <c r="AH414" s="160"/>
      <c r="AI414" s="160"/>
      <c r="AJ414" s="161"/>
      <c r="AK414" s="162"/>
      <c r="AL414" s="165"/>
      <c r="AM414" s="166"/>
      <c r="AN414" s="165"/>
      <c r="AO414" s="160"/>
      <c r="AP414" s="162"/>
      <c r="AQ414" s="161"/>
      <c r="AR414" s="162"/>
      <c r="AS414" s="161"/>
      <c r="AT414" s="165">
        <f>1576.746+5089.9407+588.41433+1490.77541</f>
        <v>8745.87644</v>
      </c>
      <c r="AU414" s="166"/>
      <c r="AV414" s="165"/>
      <c r="AW414" s="166"/>
      <c r="AX414" s="165"/>
      <c r="AY414" s="165"/>
      <c r="AZ414" s="165"/>
      <c r="BA414" s="165"/>
      <c r="BB414" s="166"/>
      <c r="BC414" s="165"/>
      <c r="BD414" s="165"/>
      <c r="BE414" s="165"/>
      <c r="BF414" s="165"/>
      <c r="BG414" s="165"/>
      <c r="BH414" s="165"/>
      <c r="BI414" s="165"/>
      <c r="BJ414" s="166"/>
      <c r="BK414" s="165"/>
      <c r="BL414" s="165"/>
      <c r="BM414" s="163"/>
      <c r="BN414" s="165"/>
      <c r="BO414" s="165"/>
      <c r="BP414" s="165"/>
      <c r="BQ414" s="167"/>
    </row>
    <row r="415" spans="1:270" ht="39.950000000000003" customHeight="1" outlineLevel="1" x14ac:dyDescent="0.3">
      <c r="A415" s="17" t="s">
        <v>524</v>
      </c>
      <c r="B415" s="12" t="s">
        <v>545</v>
      </c>
      <c r="C415" s="9" t="s">
        <v>73</v>
      </c>
      <c r="D415" s="66" t="s">
        <v>546</v>
      </c>
      <c r="E415" s="158">
        <f t="shared" si="81"/>
        <v>5940.3566300000011</v>
      </c>
      <c r="F415" s="159">
        <f t="shared" si="82"/>
        <v>0</v>
      </c>
      <c r="G415" s="160">
        <f t="shared" si="83"/>
        <v>5940.3566300000011</v>
      </c>
      <c r="H415" s="166"/>
      <c r="I415" s="165"/>
      <c r="J415" s="160"/>
      <c r="K415" s="160"/>
      <c r="L415" s="166"/>
      <c r="M415" s="165"/>
      <c r="N415" s="165"/>
      <c r="O415" s="165"/>
      <c r="P415" s="160"/>
      <c r="Q415" s="166"/>
      <c r="R415" s="165"/>
      <c r="S415" s="165"/>
      <c r="T415" s="159"/>
      <c r="U415" s="160"/>
      <c r="V415" s="165"/>
      <c r="W415" s="165"/>
      <c r="X415" s="160"/>
      <c r="Y415" s="166"/>
      <c r="Z415" s="160"/>
      <c r="AA415" s="160"/>
      <c r="AB415" s="165"/>
      <c r="AC415" s="165"/>
      <c r="AD415" s="165"/>
      <c r="AE415" s="165"/>
      <c r="AF415" s="160"/>
      <c r="AG415" s="160"/>
      <c r="AH415" s="160"/>
      <c r="AI415" s="160"/>
      <c r="AJ415" s="161"/>
      <c r="AK415" s="162"/>
      <c r="AL415" s="165"/>
      <c r="AM415" s="166"/>
      <c r="AN415" s="165"/>
      <c r="AO415" s="160"/>
      <c r="AP415" s="162"/>
      <c r="AQ415" s="161"/>
      <c r="AR415" s="162"/>
      <c r="AS415" s="161"/>
      <c r="AT415" s="165">
        <f>2535.9317+417.546+1011.048+1267.90076+168.93738+538.99279</f>
        <v>5940.3566300000011</v>
      </c>
      <c r="AU415" s="166"/>
      <c r="AV415" s="165"/>
      <c r="AW415" s="166"/>
      <c r="AX415" s="165"/>
      <c r="AY415" s="165"/>
      <c r="AZ415" s="165"/>
      <c r="BA415" s="165"/>
      <c r="BB415" s="166"/>
      <c r="BC415" s="165"/>
      <c r="BD415" s="165"/>
      <c r="BE415" s="165"/>
      <c r="BF415" s="165"/>
      <c r="BG415" s="165"/>
      <c r="BH415" s="165"/>
      <c r="BI415" s="165"/>
      <c r="BJ415" s="166"/>
      <c r="BK415" s="165"/>
      <c r="BL415" s="165"/>
      <c r="BM415" s="163"/>
      <c r="BN415" s="165"/>
      <c r="BO415" s="165"/>
      <c r="BP415" s="165"/>
      <c r="BQ415" s="167"/>
    </row>
    <row r="416" spans="1:270" ht="39.950000000000003" customHeight="1" outlineLevel="1" x14ac:dyDescent="0.3">
      <c r="A416" s="15" t="s">
        <v>524</v>
      </c>
      <c r="B416" s="14" t="s">
        <v>525</v>
      </c>
      <c r="C416" s="9" t="s">
        <v>6</v>
      </c>
      <c r="D416" s="66" t="s">
        <v>526</v>
      </c>
      <c r="E416" s="158">
        <f t="shared" si="81"/>
        <v>512.85156000000006</v>
      </c>
      <c r="F416" s="159">
        <f t="shared" si="82"/>
        <v>199.76170999999999</v>
      </c>
      <c r="G416" s="160">
        <f t="shared" si="83"/>
        <v>313.08985000000001</v>
      </c>
      <c r="H416" s="166"/>
      <c r="I416" s="165"/>
      <c r="J416" s="160"/>
      <c r="K416" s="160"/>
      <c r="L416" s="166">
        <v>199.76170999999999</v>
      </c>
      <c r="M416" s="165">
        <v>313.08985000000001</v>
      </c>
      <c r="N416" s="165"/>
      <c r="O416" s="165"/>
      <c r="P416" s="160"/>
      <c r="Q416" s="166"/>
      <c r="R416" s="165"/>
      <c r="S416" s="165"/>
      <c r="T416" s="159"/>
      <c r="U416" s="160"/>
      <c r="V416" s="165"/>
      <c r="W416" s="165"/>
      <c r="X416" s="160"/>
      <c r="Y416" s="166"/>
      <c r="Z416" s="160"/>
      <c r="AA416" s="160"/>
      <c r="AB416" s="165"/>
      <c r="AC416" s="165"/>
      <c r="AD416" s="165"/>
      <c r="AE416" s="165"/>
      <c r="AF416" s="160"/>
      <c r="AG416" s="160"/>
      <c r="AH416" s="160"/>
      <c r="AI416" s="160"/>
      <c r="AJ416" s="161"/>
      <c r="AK416" s="162"/>
      <c r="AL416" s="165"/>
      <c r="AM416" s="166"/>
      <c r="AN416" s="165"/>
      <c r="AO416" s="160"/>
      <c r="AP416" s="162"/>
      <c r="AQ416" s="161"/>
      <c r="AR416" s="162"/>
      <c r="AS416" s="161"/>
      <c r="AT416" s="165"/>
      <c r="AU416" s="166"/>
      <c r="AV416" s="165"/>
      <c r="AW416" s="166"/>
      <c r="AX416" s="165"/>
      <c r="AY416" s="165"/>
      <c r="AZ416" s="165"/>
      <c r="BA416" s="165"/>
      <c r="BB416" s="166"/>
      <c r="BC416" s="165"/>
      <c r="BD416" s="165"/>
      <c r="BE416" s="165"/>
      <c r="BF416" s="165"/>
      <c r="BG416" s="165"/>
      <c r="BH416" s="165"/>
      <c r="BI416" s="165"/>
      <c r="BJ416" s="166"/>
      <c r="BK416" s="165"/>
      <c r="BL416" s="165"/>
      <c r="BM416" s="163"/>
      <c r="BN416" s="165"/>
      <c r="BO416" s="165"/>
      <c r="BP416" s="165"/>
      <c r="BQ416" s="167"/>
    </row>
    <row r="417" spans="1:270" s="34" customFormat="1" ht="39.950000000000003" customHeight="1" x14ac:dyDescent="0.3">
      <c r="A417" s="118" t="s">
        <v>547</v>
      </c>
      <c r="B417" s="120"/>
      <c r="C417" s="116" t="s">
        <v>80</v>
      </c>
      <c r="D417" s="117"/>
      <c r="E417" s="171">
        <f t="shared" ref="E417:AI417" si="84">SUBTOTAL(9,E402:E416)</f>
        <v>33268.435320000004</v>
      </c>
      <c r="F417" s="171">
        <f t="shared" si="84"/>
        <v>1542.88228</v>
      </c>
      <c r="G417" s="171">
        <f t="shared" si="84"/>
        <v>31725.553040000003</v>
      </c>
      <c r="H417" s="171">
        <f t="shared" si="84"/>
        <v>344.86200000000002</v>
      </c>
      <c r="I417" s="171">
        <f t="shared" si="84"/>
        <v>114.95399999999999</v>
      </c>
      <c r="J417" s="171">
        <f t="shared" si="84"/>
        <v>700</v>
      </c>
      <c r="K417" s="171">
        <f t="shared" si="84"/>
        <v>0</v>
      </c>
      <c r="L417" s="171">
        <f t="shared" si="84"/>
        <v>1198.0202800000002</v>
      </c>
      <c r="M417" s="171">
        <f t="shared" si="84"/>
        <v>1877.67704</v>
      </c>
      <c r="N417" s="171">
        <f t="shared" si="84"/>
        <v>8660.55645</v>
      </c>
      <c r="O417" s="171">
        <f>SUBTOTAL(9,O402:O416)</f>
        <v>139.19999999999999</v>
      </c>
      <c r="P417" s="171">
        <f>SUBTOTAL(9,P402:P416)</f>
        <v>0</v>
      </c>
      <c r="Q417" s="171">
        <f t="shared" si="84"/>
        <v>0</v>
      </c>
      <c r="R417" s="171">
        <f t="shared" si="84"/>
        <v>0</v>
      </c>
      <c r="S417" s="171">
        <f t="shared" si="84"/>
        <v>73.099999999999994</v>
      </c>
      <c r="T417" s="171">
        <f>SUBTOTAL(9,T402:T416)</f>
        <v>0</v>
      </c>
      <c r="U417" s="171">
        <f>SUBTOTAL(9,U402:U416)</f>
        <v>0</v>
      </c>
      <c r="V417" s="171">
        <f t="shared" si="84"/>
        <v>0</v>
      </c>
      <c r="W417" s="171">
        <f t="shared" si="84"/>
        <v>0</v>
      </c>
      <c r="X417" s="171">
        <f>SUBTOTAL(9,X402:X416)</f>
        <v>0</v>
      </c>
      <c r="Y417" s="171">
        <f t="shared" si="84"/>
        <v>0</v>
      </c>
      <c r="Z417" s="171">
        <f t="shared" si="84"/>
        <v>0</v>
      </c>
      <c r="AA417" s="171">
        <f t="shared" si="84"/>
        <v>4445.2461800000001</v>
      </c>
      <c r="AB417" s="171">
        <f t="shared" si="84"/>
        <v>0</v>
      </c>
      <c r="AC417" s="171">
        <f t="shared" si="84"/>
        <v>0</v>
      </c>
      <c r="AD417" s="171">
        <f>SUBTOTAL(9,AD402:AD416)</f>
        <v>0</v>
      </c>
      <c r="AE417" s="171">
        <f t="shared" si="84"/>
        <v>0</v>
      </c>
      <c r="AF417" s="171">
        <f t="shared" si="84"/>
        <v>0</v>
      </c>
      <c r="AG417" s="171">
        <f t="shared" si="84"/>
        <v>45.418590000000002</v>
      </c>
      <c r="AH417" s="171">
        <f t="shared" si="84"/>
        <v>0</v>
      </c>
      <c r="AI417" s="171">
        <f t="shared" si="84"/>
        <v>0</v>
      </c>
      <c r="AJ417" s="171">
        <f t="shared" ref="AJ417:BQ417" si="85">SUBTOTAL(9,AJ402:AJ416)</f>
        <v>0</v>
      </c>
      <c r="AK417" s="171">
        <f t="shared" si="85"/>
        <v>0</v>
      </c>
      <c r="AL417" s="171">
        <f t="shared" si="85"/>
        <v>0</v>
      </c>
      <c r="AM417" s="171">
        <f>SUBTOTAL(9,AM402:AM416)</f>
        <v>0</v>
      </c>
      <c r="AN417" s="171">
        <f>SUBTOTAL(9,AN402:AN416)</f>
        <v>0</v>
      </c>
      <c r="AO417" s="171">
        <f>SUBTOTAL(9,AO402:AO416)</f>
        <v>0</v>
      </c>
      <c r="AP417" s="171">
        <f t="shared" si="85"/>
        <v>0</v>
      </c>
      <c r="AQ417" s="171">
        <f t="shared" si="85"/>
        <v>0</v>
      </c>
      <c r="AR417" s="171">
        <f t="shared" si="85"/>
        <v>0</v>
      </c>
      <c r="AS417" s="171">
        <f t="shared" si="85"/>
        <v>0</v>
      </c>
      <c r="AT417" s="171">
        <f>SUBTOTAL(9,AT402:AT416)</f>
        <v>14686.233070000002</v>
      </c>
      <c r="AU417" s="171">
        <f t="shared" si="85"/>
        <v>0</v>
      </c>
      <c r="AV417" s="171">
        <f t="shared" si="85"/>
        <v>0</v>
      </c>
      <c r="AW417" s="171">
        <f t="shared" si="85"/>
        <v>0</v>
      </c>
      <c r="AX417" s="171">
        <f t="shared" si="85"/>
        <v>0</v>
      </c>
      <c r="AY417" s="171">
        <f t="shared" si="85"/>
        <v>80.774879999999996</v>
      </c>
      <c r="AZ417" s="171">
        <f t="shared" si="85"/>
        <v>0</v>
      </c>
      <c r="BA417" s="171">
        <f t="shared" si="85"/>
        <v>0</v>
      </c>
      <c r="BB417" s="171">
        <f t="shared" si="85"/>
        <v>0</v>
      </c>
      <c r="BC417" s="171">
        <f t="shared" si="85"/>
        <v>0</v>
      </c>
      <c r="BD417" s="171">
        <f t="shared" si="85"/>
        <v>0</v>
      </c>
      <c r="BE417" s="171">
        <f t="shared" si="85"/>
        <v>256.72465</v>
      </c>
      <c r="BF417" s="171">
        <f t="shared" si="85"/>
        <v>0</v>
      </c>
      <c r="BG417" s="171">
        <f t="shared" si="85"/>
        <v>0</v>
      </c>
      <c r="BH417" s="171">
        <f t="shared" si="85"/>
        <v>0</v>
      </c>
      <c r="BI417" s="171">
        <f t="shared" si="85"/>
        <v>0</v>
      </c>
      <c r="BJ417" s="171">
        <f t="shared" si="85"/>
        <v>0</v>
      </c>
      <c r="BK417" s="171">
        <f t="shared" si="85"/>
        <v>0</v>
      </c>
      <c r="BL417" s="171">
        <f t="shared" si="85"/>
        <v>0</v>
      </c>
      <c r="BM417" s="172">
        <f>SUBTOTAL(9,BM402:BM416)</f>
        <v>0</v>
      </c>
      <c r="BN417" s="171">
        <f t="shared" si="85"/>
        <v>0</v>
      </c>
      <c r="BO417" s="171">
        <f t="shared" si="85"/>
        <v>645.66818000000001</v>
      </c>
      <c r="BP417" s="171">
        <f t="shared" si="85"/>
        <v>0</v>
      </c>
      <c r="BQ417" s="172">
        <f t="shared" si="85"/>
        <v>0</v>
      </c>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c r="DV417" s="40"/>
      <c r="DW417" s="40"/>
      <c r="DX417" s="40"/>
      <c r="DY417" s="40"/>
      <c r="DZ417" s="40"/>
      <c r="EA417" s="40"/>
      <c r="EB417" s="40"/>
      <c r="EC417" s="40"/>
      <c r="ED417" s="40"/>
      <c r="EE417" s="40"/>
      <c r="EF417" s="40"/>
      <c r="EG417" s="40"/>
      <c r="EH417" s="40"/>
      <c r="EI417" s="40"/>
      <c r="EJ417" s="40"/>
      <c r="EK417" s="40"/>
      <c r="EL417" s="40"/>
      <c r="EM417" s="40"/>
      <c r="EN417" s="40"/>
      <c r="EO417" s="40"/>
      <c r="EP417" s="40"/>
      <c r="EQ417" s="40"/>
      <c r="ER417" s="40"/>
      <c r="ES417" s="40"/>
      <c r="ET417" s="40"/>
      <c r="EU417" s="40"/>
      <c r="EV417" s="40"/>
      <c r="EW417" s="40"/>
      <c r="EX417" s="40"/>
      <c r="EY417" s="40"/>
      <c r="EZ417" s="40"/>
      <c r="FA417" s="40"/>
      <c r="FB417" s="40"/>
      <c r="FC417" s="40"/>
      <c r="FD417" s="40"/>
      <c r="FE417" s="40"/>
      <c r="FF417" s="40"/>
      <c r="FG417" s="40"/>
      <c r="FH417" s="40"/>
      <c r="FI417" s="40"/>
      <c r="FJ417" s="40"/>
      <c r="FK417" s="40"/>
      <c r="FL417" s="40"/>
      <c r="FM417" s="40"/>
      <c r="FN417" s="40"/>
      <c r="FO417" s="40"/>
      <c r="FP417" s="40"/>
      <c r="FQ417" s="40"/>
      <c r="FR417" s="40"/>
      <c r="FS417" s="40"/>
      <c r="FT417" s="40"/>
      <c r="FU417" s="40"/>
      <c r="FV417" s="40"/>
      <c r="FW417" s="40"/>
      <c r="FX417" s="40"/>
      <c r="FY417" s="40"/>
      <c r="FZ417" s="40"/>
      <c r="GA417" s="40"/>
      <c r="GB417" s="40"/>
      <c r="GC417" s="40"/>
      <c r="GD417" s="40"/>
      <c r="GE417" s="40"/>
      <c r="GF417" s="40"/>
      <c r="GG417" s="40"/>
      <c r="GH417" s="40"/>
      <c r="GI417" s="40"/>
      <c r="GJ417" s="40"/>
      <c r="GK417" s="40"/>
      <c r="GL417" s="40"/>
      <c r="GM417" s="40"/>
      <c r="GN417" s="40"/>
      <c r="GO417" s="40"/>
      <c r="GP417" s="40"/>
      <c r="GQ417" s="40"/>
      <c r="GR417" s="40"/>
      <c r="GS417" s="40"/>
      <c r="GT417" s="40"/>
      <c r="GU417" s="40"/>
      <c r="GV417" s="40"/>
      <c r="GW417" s="40"/>
      <c r="GX417" s="40"/>
      <c r="GY417" s="40"/>
      <c r="GZ417" s="40"/>
      <c r="HA417" s="40"/>
      <c r="HB417" s="40"/>
      <c r="HC417" s="40"/>
      <c r="HD417" s="40"/>
      <c r="HE417" s="40"/>
      <c r="HF417" s="40"/>
      <c r="HG417" s="40"/>
      <c r="HH417" s="40"/>
      <c r="HI417" s="40"/>
      <c r="HJ417" s="40"/>
      <c r="HK417" s="40"/>
      <c r="HL417" s="40"/>
      <c r="HM417" s="40"/>
      <c r="HN417" s="40"/>
      <c r="HO417" s="40"/>
      <c r="HP417" s="40"/>
      <c r="HQ417" s="40"/>
      <c r="HR417" s="40"/>
      <c r="HS417" s="40"/>
      <c r="HT417" s="40"/>
      <c r="HU417" s="40"/>
      <c r="HV417" s="40"/>
      <c r="HW417" s="40"/>
      <c r="HX417" s="40"/>
      <c r="HY417" s="40"/>
      <c r="HZ417" s="40"/>
      <c r="IA417" s="40"/>
      <c r="IB417" s="40"/>
      <c r="IC417" s="40"/>
      <c r="ID417" s="40"/>
      <c r="IE417" s="40"/>
      <c r="IF417" s="40"/>
      <c r="IG417" s="40"/>
      <c r="IH417" s="40"/>
      <c r="II417" s="40"/>
      <c r="IJ417" s="40"/>
      <c r="IK417" s="40"/>
      <c r="IL417" s="40"/>
      <c r="IM417" s="40"/>
      <c r="IN417" s="40"/>
      <c r="IO417" s="40"/>
      <c r="IP417" s="40"/>
      <c r="IQ417" s="40"/>
      <c r="IR417" s="40"/>
      <c r="IS417" s="40"/>
      <c r="IT417" s="40"/>
      <c r="IU417" s="40"/>
      <c r="IV417" s="40"/>
      <c r="IW417" s="40"/>
      <c r="IX417" s="40"/>
      <c r="IY417" s="40"/>
      <c r="IZ417" s="40"/>
      <c r="JA417" s="40"/>
      <c r="JB417" s="40"/>
      <c r="JC417" s="40"/>
      <c r="JD417" s="40"/>
      <c r="JE417" s="40"/>
      <c r="JF417" s="40"/>
      <c r="JG417" s="40"/>
      <c r="JH417" s="40"/>
      <c r="JI417" s="40"/>
      <c r="JJ417" s="40"/>
    </row>
    <row r="418" spans="1:270" ht="39.950000000000003" customHeight="1" outlineLevel="1" x14ac:dyDescent="0.3">
      <c r="A418" s="17" t="s">
        <v>548</v>
      </c>
      <c r="B418" s="14" t="s">
        <v>1423</v>
      </c>
      <c r="C418" s="9" t="s">
        <v>30</v>
      </c>
      <c r="D418" s="66">
        <v>242022295480</v>
      </c>
      <c r="E418" s="158">
        <f>F418+G418</f>
        <v>1930.4504300000001</v>
      </c>
      <c r="F418" s="159">
        <f>H418+L418+Q418+Y418+T418+AK418+AP418+AM418+AR418+AU418+AW418+BB418+BJ418</f>
        <v>0</v>
      </c>
      <c r="G418" s="160">
        <f>I418+J418+K418+M418+N418+R418+S418+V418+W418+AD418+O418+X418+Z418+AA418+AB418+AC418+AE418+AF418+P418+U418+AG418+AH418+AI418+AO418+AJ418+AL418+AQ418+AN418+AS418+AV418+AX418+AY418+AZ418+BA418+BC418+BD418+BE418+BF418+BG418+BH418+BI418+AT418+BK418+BL418+BN418+BO418+BP418+BQ418+BM418</f>
        <v>1930.4504300000001</v>
      </c>
      <c r="H418" s="166"/>
      <c r="I418" s="165"/>
      <c r="J418" s="160"/>
      <c r="K418" s="160"/>
      <c r="L418" s="166"/>
      <c r="M418" s="165"/>
      <c r="N418" s="165"/>
      <c r="O418" s="165"/>
      <c r="P418" s="160"/>
      <c r="Q418" s="166"/>
      <c r="R418" s="165"/>
      <c r="S418" s="165"/>
      <c r="T418" s="159"/>
      <c r="U418" s="160"/>
      <c r="V418" s="165"/>
      <c r="W418" s="165"/>
      <c r="X418" s="160"/>
      <c r="Y418" s="166"/>
      <c r="Z418" s="160"/>
      <c r="AA418" s="160"/>
      <c r="AB418" s="165"/>
      <c r="AC418" s="165"/>
      <c r="AD418" s="165">
        <v>96.470550000000003</v>
      </c>
      <c r="AE418" s="165"/>
      <c r="AF418" s="160"/>
      <c r="AG418" s="160"/>
      <c r="AH418" s="160"/>
      <c r="AI418" s="160"/>
      <c r="AJ418" s="161"/>
      <c r="AK418" s="162"/>
      <c r="AL418" s="165"/>
      <c r="AM418" s="166"/>
      <c r="AN418" s="165"/>
      <c r="AO418" s="160"/>
      <c r="AP418" s="162"/>
      <c r="AQ418" s="161"/>
      <c r="AR418" s="162"/>
      <c r="AS418" s="161"/>
      <c r="AT418" s="165"/>
      <c r="AU418" s="166"/>
      <c r="AV418" s="165"/>
      <c r="AW418" s="166"/>
      <c r="AX418" s="165"/>
      <c r="AY418" s="165"/>
      <c r="AZ418" s="165"/>
      <c r="BA418" s="165"/>
      <c r="BB418" s="166"/>
      <c r="BC418" s="165"/>
      <c r="BD418" s="165"/>
      <c r="BE418" s="165"/>
      <c r="BF418" s="165"/>
      <c r="BG418" s="165"/>
      <c r="BH418" s="165"/>
      <c r="BI418" s="165"/>
      <c r="BJ418" s="166"/>
      <c r="BK418" s="165"/>
      <c r="BL418" s="165"/>
      <c r="BM418" s="163"/>
      <c r="BN418" s="165"/>
      <c r="BO418" s="165">
        <v>1833.9798800000001</v>
      </c>
      <c r="BP418" s="165"/>
      <c r="BQ418" s="167"/>
    </row>
    <row r="419" spans="1:270" s="34" customFormat="1" ht="39.950000000000003" customHeight="1" x14ac:dyDescent="0.3">
      <c r="A419" s="114" t="s">
        <v>549</v>
      </c>
      <c r="B419" s="120"/>
      <c r="C419" s="116" t="s">
        <v>80</v>
      </c>
      <c r="D419" s="117"/>
      <c r="E419" s="171">
        <f t="shared" ref="E419:AI419" si="86">SUBTOTAL(9,E418:E418)</f>
        <v>1930.4504300000001</v>
      </c>
      <c r="F419" s="171">
        <f t="shared" si="86"/>
        <v>0</v>
      </c>
      <c r="G419" s="171">
        <f t="shared" si="86"/>
        <v>1930.4504300000001</v>
      </c>
      <c r="H419" s="171">
        <f t="shared" si="86"/>
        <v>0</v>
      </c>
      <c r="I419" s="171">
        <f t="shared" si="86"/>
        <v>0</v>
      </c>
      <c r="J419" s="171">
        <f t="shared" si="86"/>
        <v>0</v>
      </c>
      <c r="K419" s="171">
        <f t="shared" si="86"/>
        <v>0</v>
      </c>
      <c r="L419" s="171">
        <f t="shared" si="86"/>
        <v>0</v>
      </c>
      <c r="M419" s="171">
        <f t="shared" si="86"/>
        <v>0</v>
      </c>
      <c r="N419" s="171">
        <f t="shared" si="86"/>
        <v>0</v>
      </c>
      <c r="O419" s="171">
        <f>SUBTOTAL(9,O418:O418)</f>
        <v>0</v>
      </c>
      <c r="P419" s="171">
        <f>SUBTOTAL(9,P418:P418)</f>
        <v>0</v>
      </c>
      <c r="Q419" s="171">
        <f t="shared" si="86"/>
        <v>0</v>
      </c>
      <c r="R419" s="171">
        <f t="shared" si="86"/>
        <v>0</v>
      </c>
      <c r="S419" s="171">
        <f t="shared" si="86"/>
        <v>0</v>
      </c>
      <c r="T419" s="171">
        <f>SUBTOTAL(9,T418:T418)</f>
        <v>0</v>
      </c>
      <c r="U419" s="171">
        <f>SUBTOTAL(9,U418:U418)</f>
        <v>0</v>
      </c>
      <c r="V419" s="171">
        <f t="shared" si="86"/>
        <v>0</v>
      </c>
      <c r="W419" s="171">
        <f t="shared" si="86"/>
        <v>0</v>
      </c>
      <c r="X419" s="171">
        <f>SUBTOTAL(9,X418:X418)</f>
        <v>0</v>
      </c>
      <c r="Y419" s="171">
        <f t="shared" si="86"/>
        <v>0</v>
      </c>
      <c r="Z419" s="171">
        <f t="shared" si="86"/>
        <v>0</v>
      </c>
      <c r="AA419" s="171">
        <f t="shared" si="86"/>
        <v>0</v>
      </c>
      <c r="AB419" s="171">
        <f t="shared" si="86"/>
        <v>0</v>
      </c>
      <c r="AC419" s="171">
        <f t="shared" si="86"/>
        <v>0</v>
      </c>
      <c r="AD419" s="171">
        <f>SUBTOTAL(9,AD418:AD418)</f>
        <v>96.470550000000003</v>
      </c>
      <c r="AE419" s="171">
        <f t="shared" si="86"/>
        <v>0</v>
      </c>
      <c r="AF419" s="171">
        <f t="shared" si="86"/>
        <v>0</v>
      </c>
      <c r="AG419" s="171">
        <f t="shared" si="86"/>
        <v>0</v>
      </c>
      <c r="AH419" s="171">
        <f t="shared" si="86"/>
        <v>0</v>
      </c>
      <c r="AI419" s="171">
        <f t="shared" si="86"/>
        <v>0</v>
      </c>
      <c r="AJ419" s="171">
        <f t="shared" ref="AJ419:BQ419" si="87">SUBTOTAL(9,AJ418:AJ418)</f>
        <v>0</v>
      </c>
      <c r="AK419" s="171">
        <f t="shared" si="87"/>
        <v>0</v>
      </c>
      <c r="AL419" s="171">
        <f t="shared" si="87"/>
        <v>0</v>
      </c>
      <c r="AM419" s="171">
        <f>SUBTOTAL(9,AM418:AM418)</f>
        <v>0</v>
      </c>
      <c r="AN419" s="171">
        <f>SUBTOTAL(9,AN418:AN418)</f>
        <v>0</v>
      </c>
      <c r="AO419" s="171">
        <f>SUBTOTAL(9,AO418:AO418)</f>
        <v>0</v>
      </c>
      <c r="AP419" s="171">
        <f t="shared" si="87"/>
        <v>0</v>
      </c>
      <c r="AQ419" s="171">
        <f t="shared" si="87"/>
        <v>0</v>
      </c>
      <c r="AR419" s="171">
        <f t="shared" si="87"/>
        <v>0</v>
      </c>
      <c r="AS419" s="171">
        <f t="shared" si="87"/>
        <v>0</v>
      </c>
      <c r="AT419" s="171">
        <f>SUBTOTAL(9,AT418:AT418)</f>
        <v>0</v>
      </c>
      <c r="AU419" s="171">
        <f t="shared" si="87"/>
        <v>0</v>
      </c>
      <c r="AV419" s="171">
        <f t="shared" si="87"/>
        <v>0</v>
      </c>
      <c r="AW419" s="171">
        <f t="shared" si="87"/>
        <v>0</v>
      </c>
      <c r="AX419" s="171">
        <f t="shared" si="87"/>
        <v>0</v>
      </c>
      <c r="AY419" s="171">
        <f t="shared" si="87"/>
        <v>0</v>
      </c>
      <c r="AZ419" s="171">
        <f t="shared" si="87"/>
        <v>0</v>
      </c>
      <c r="BA419" s="171">
        <f t="shared" si="87"/>
        <v>0</v>
      </c>
      <c r="BB419" s="171">
        <f t="shared" si="87"/>
        <v>0</v>
      </c>
      <c r="BC419" s="171">
        <f t="shared" si="87"/>
        <v>0</v>
      </c>
      <c r="BD419" s="171">
        <f t="shared" si="87"/>
        <v>0</v>
      </c>
      <c r="BE419" s="171">
        <f t="shared" si="87"/>
        <v>0</v>
      </c>
      <c r="BF419" s="171">
        <f t="shared" si="87"/>
        <v>0</v>
      </c>
      <c r="BG419" s="171">
        <f t="shared" si="87"/>
        <v>0</v>
      </c>
      <c r="BH419" s="171">
        <f t="shared" si="87"/>
        <v>0</v>
      </c>
      <c r="BI419" s="171">
        <f t="shared" si="87"/>
        <v>0</v>
      </c>
      <c r="BJ419" s="171">
        <f t="shared" si="87"/>
        <v>0</v>
      </c>
      <c r="BK419" s="171">
        <f t="shared" si="87"/>
        <v>0</v>
      </c>
      <c r="BL419" s="171">
        <f t="shared" si="87"/>
        <v>0</v>
      </c>
      <c r="BM419" s="172">
        <f>SUBTOTAL(9,BM418:BM418)</f>
        <v>0</v>
      </c>
      <c r="BN419" s="171">
        <f t="shared" si="87"/>
        <v>0</v>
      </c>
      <c r="BO419" s="171">
        <f t="shared" si="87"/>
        <v>1833.9798800000001</v>
      </c>
      <c r="BP419" s="171">
        <f t="shared" si="87"/>
        <v>0</v>
      </c>
      <c r="BQ419" s="172">
        <f t="shared" si="87"/>
        <v>0</v>
      </c>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c r="DV419" s="40"/>
      <c r="DW419" s="40"/>
      <c r="DX419" s="40"/>
      <c r="DY419" s="40"/>
      <c r="DZ419" s="40"/>
      <c r="EA419" s="40"/>
      <c r="EB419" s="40"/>
      <c r="EC419" s="40"/>
      <c r="ED419" s="40"/>
      <c r="EE419" s="40"/>
      <c r="EF419" s="40"/>
      <c r="EG419" s="40"/>
      <c r="EH419" s="40"/>
      <c r="EI419" s="40"/>
      <c r="EJ419" s="40"/>
      <c r="EK419" s="40"/>
      <c r="EL419" s="40"/>
      <c r="EM419" s="40"/>
      <c r="EN419" s="40"/>
      <c r="EO419" s="40"/>
      <c r="EP419" s="40"/>
      <c r="EQ419" s="40"/>
      <c r="ER419" s="40"/>
      <c r="ES419" s="40"/>
      <c r="ET419" s="40"/>
      <c r="EU419" s="40"/>
      <c r="EV419" s="40"/>
      <c r="EW419" s="40"/>
      <c r="EX419" s="40"/>
      <c r="EY419" s="40"/>
      <c r="EZ419" s="40"/>
      <c r="FA419" s="40"/>
      <c r="FB419" s="40"/>
      <c r="FC419" s="40"/>
      <c r="FD419" s="40"/>
      <c r="FE419" s="40"/>
      <c r="FF419" s="40"/>
      <c r="FG419" s="40"/>
      <c r="FH419" s="40"/>
      <c r="FI419" s="40"/>
      <c r="FJ419" s="40"/>
      <c r="FK419" s="40"/>
      <c r="FL419" s="40"/>
      <c r="FM419" s="40"/>
      <c r="FN419" s="40"/>
      <c r="FO419" s="40"/>
      <c r="FP419" s="40"/>
      <c r="FQ419" s="40"/>
      <c r="FR419" s="40"/>
      <c r="FS419" s="40"/>
      <c r="FT419" s="40"/>
      <c r="FU419" s="40"/>
      <c r="FV419" s="40"/>
      <c r="FW419" s="40"/>
      <c r="FX419" s="40"/>
      <c r="FY419" s="40"/>
      <c r="FZ419" s="40"/>
      <c r="GA419" s="40"/>
      <c r="GB419" s="40"/>
      <c r="GC419" s="40"/>
      <c r="GD419" s="40"/>
      <c r="GE419" s="40"/>
      <c r="GF419" s="40"/>
      <c r="GG419" s="40"/>
      <c r="GH419" s="40"/>
      <c r="GI419" s="40"/>
      <c r="GJ419" s="40"/>
      <c r="GK419" s="40"/>
      <c r="GL419" s="40"/>
      <c r="GM419" s="40"/>
      <c r="GN419" s="40"/>
      <c r="GO419" s="40"/>
      <c r="GP419" s="40"/>
      <c r="GQ419" s="40"/>
      <c r="GR419" s="40"/>
      <c r="GS419" s="40"/>
      <c r="GT419" s="40"/>
      <c r="GU419" s="40"/>
      <c r="GV419" s="40"/>
      <c r="GW419" s="40"/>
      <c r="GX419" s="40"/>
      <c r="GY419" s="40"/>
      <c r="GZ419" s="40"/>
      <c r="HA419" s="40"/>
      <c r="HB419" s="40"/>
      <c r="HC419" s="40"/>
      <c r="HD419" s="40"/>
      <c r="HE419" s="40"/>
      <c r="HF419" s="40"/>
      <c r="HG419" s="40"/>
      <c r="HH419" s="40"/>
      <c r="HI419" s="40"/>
      <c r="HJ419" s="40"/>
      <c r="HK419" s="40"/>
      <c r="HL419" s="40"/>
      <c r="HM419" s="40"/>
      <c r="HN419" s="40"/>
      <c r="HO419" s="40"/>
      <c r="HP419" s="40"/>
      <c r="HQ419" s="40"/>
      <c r="HR419" s="40"/>
      <c r="HS419" s="40"/>
      <c r="HT419" s="40"/>
      <c r="HU419" s="40"/>
      <c r="HV419" s="40"/>
      <c r="HW419" s="40"/>
      <c r="HX419" s="40"/>
      <c r="HY419" s="40"/>
      <c r="HZ419" s="40"/>
      <c r="IA419" s="40"/>
      <c r="IB419" s="40"/>
      <c r="IC419" s="40"/>
      <c r="ID419" s="40"/>
      <c r="IE419" s="40"/>
      <c r="IF419" s="40"/>
      <c r="IG419" s="40"/>
      <c r="IH419" s="40"/>
      <c r="II419" s="40"/>
      <c r="IJ419" s="40"/>
      <c r="IK419" s="40"/>
      <c r="IL419" s="40"/>
      <c r="IM419" s="40"/>
      <c r="IN419" s="40"/>
      <c r="IO419" s="40"/>
      <c r="IP419" s="40"/>
      <c r="IQ419" s="40"/>
      <c r="IR419" s="40"/>
      <c r="IS419" s="40"/>
      <c r="IT419" s="40"/>
      <c r="IU419" s="40"/>
      <c r="IV419" s="40"/>
      <c r="IW419" s="40"/>
      <c r="IX419" s="40"/>
      <c r="IY419" s="40"/>
      <c r="IZ419" s="40"/>
      <c r="JA419" s="40"/>
      <c r="JB419" s="40"/>
      <c r="JC419" s="40"/>
      <c r="JD419" s="40"/>
      <c r="JE419" s="40"/>
      <c r="JF419" s="40"/>
      <c r="JG419" s="40"/>
      <c r="JH419" s="40"/>
      <c r="JI419" s="40"/>
      <c r="JJ419" s="40"/>
    </row>
    <row r="420" spans="1:270" ht="39.950000000000003" customHeight="1" outlineLevel="1" x14ac:dyDescent="0.3">
      <c r="A420" s="17" t="s">
        <v>550</v>
      </c>
      <c r="B420" s="12" t="s">
        <v>1462</v>
      </c>
      <c r="C420" s="9" t="s">
        <v>30</v>
      </c>
      <c r="D420" s="66">
        <v>242002020367</v>
      </c>
      <c r="E420" s="158">
        <f t="shared" ref="E420:E423" si="88">F420+G420</f>
        <v>233.06841</v>
      </c>
      <c r="F420" s="159">
        <f>H420+L420+Q420+Y420+T420+AK420+AP420+AM420+AR420+AU420+AW420+BB420+BJ420</f>
        <v>0</v>
      </c>
      <c r="G420" s="160">
        <f>I420+J420+K420+M420+N420+R420+S420+V420+W420+AD420+O420+X420+Z420+AA420+AB420+AC420+AE420+AF420+P420+U420+AG420+AH420+AI420+AO420+AJ420+AL420+AQ420+AN420+AS420+AV420+AX420+AY420+AZ420+BA420+BC420+BD420+BE420+BF420+BG420+BH420+BI420+AT420+BK420+BL420+BN420+BO420+BP420+BQ420+BM420</f>
        <v>233.06841</v>
      </c>
      <c r="H420" s="166"/>
      <c r="I420" s="165"/>
      <c r="J420" s="160"/>
      <c r="K420" s="160"/>
      <c r="L420" s="166"/>
      <c r="M420" s="165"/>
      <c r="N420" s="165"/>
      <c r="O420" s="165"/>
      <c r="P420" s="160"/>
      <c r="Q420" s="166"/>
      <c r="R420" s="165"/>
      <c r="S420" s="165"/>
      <c r="T420" s="159"/>
      <c r="U420" s="160"/>
      <c r="V420" s="165"/>
      <c r="W420" s="165"/>
      <c r="X420" s="160"/>
      <c r="Y420" s="166"/>
      <c r="Z420" s="160"/>
      <c r="AA420" s="160">
        <v>233.06841</v>
      </c>
      <c r="AB420" s="165"/>
      <c r="AC420" s="165"/>
      <c r="AD420" s="165"/>
      <c r="AE420" s="165"/>
      <c r="AF420" s="160"/>
      <c r="AG420" s="160"/>
      <c r="AH420" s="160"/>
      <c r="AI420" s="160"/>
      <c r="AJ420" s="161"/>
      <c r="AK420" s="162"/>
      <c r="AL420" s="165"/>
      <c r="AM420" s="166"/>
      <c r="AN420" s="165"/>
      <c r="AO420" s="160"/>
      <c r="AP420" s="162"/>
      <c r="AQ420" s="161"/>
      <c r="AR420" s="162"/>
      <c r="AS420" s="161"/>
      <c r="AT420" s="165"/>
      <c r="AU420" s="166"/>
      <c r="AV420" s="165"/>
      <c r="AW420" s="166"/>
      <c r="AX420" s="165"/>
      <c r="AY420" s="165"/>
      <c r="AZ420" s="165"/>
      <c r="BA420" s="165"/>
      <c r="BB420" s="166"/>
      <c r="BC420" s="165"/>
      <c r="BD420" s="165"/>
      <c r="BE420" s="165"/>
      <c r="BF420" s="165"/>
      <c r="BG420" s="165"/>
      <c r="BH420" s="165"/>
      <c r="BI420" s="165"/>
      <c r="BJ420" s="166"/>
      <c r="BK420" s="165"/>
      <c r="BL420" s="165"/>
      <c r="BM420" s="163"/>
      <c r="BN420" s="165"/>
      <c r="BO420" s="165"/>
      <c r="BP420" s="165"/>
      <c r="BQ420" s="167"/>
    </row>
    <row r="421" spans="1:270" ht="39.950000000000003" customHeight="1" outlineLevel="1" x14ac:dyDescent="0.3">
      <c r="A421" s="17" t="s">
        <v>550</v>
      </c>
      <c r="B421" s="14" t="s">
        <v>554</v>
      </c>
      <c r="C421" s="9" t="s">
        <v>30</v>
      </c>
      <c r="D421" s="66" t="s">
        <v>555</v>
      </c>
      <c r="E421" s="158">
        <f t="shared" si="88"/>
        <v>316.16000000000003</v>
      </c>
      <c r="F421" s="159">
        <f>H421+L421+Q421+Y421+T421+AK421+AP421+AM421+AR421+AU421+AW421+BB421+BJ421</f>
        <v>0</v>
      </c>
      <c r="G421" s="160">
        <f>I421+J421+K421+M421+N421+R421+S421+V421+W421+AD421+O421+X421+Z421+AA421+AB421+AC421+AE421+AF421+P421+U421+AG421+AH421+AI421+AO421+AJ421+AL421+AQ421+AN421+AS421+AV421+AX421+AY421+AZ421+BA421+BC421+BD421+BE421+BF421+BG421+BH421+BI421+AT421+BK421+BL421+BN421+BO421+BP421+BQ421+BM421</f>
        <v>316.16000000000003</v>
      </c>
      <c r="H421" s="166"/>
      <c r="I421" s="165"/>
      <c r="J421" s="160"/>
      <c r="K421" s="160"/>
      <c r="L421" s="166"/>
      <c r="M421" s="165"/>
      <c r="N421" s="165"/>
      <c r="O421" s="165"/>
      <c r="P421" s="160"/>
      <c r="Q421" s="166"/>
      <c r="R421" s="165"/>
      <c r="S421" s="165"/>
      <c r="T421" s="159"/>
      <c r="U421" s="160"/>
      <c r="V421" s="165"/>
      <c r="W421" s="165">
        <v>316.16000000000003</v>
      </c>
      <c r="X421" s="160"/>
      <c r="Y421" s="166"/>
      <c r="Z421" s="160"/>
      <c r="AA421" s="160"/>
      <c r="AB421" s="165"/>
      <c r="AC421" s="165"/>
      <c r="AD421" s="165"/>
      <c r="AE421" s="165"/>
      <c r="AF421" s="160"/>
      <c r="AG421" s="160"/>
      <c r="AH421" s="160"/>
      <c r="AI421" s="160"/>
      <c r="AJ421" s="161"/>
      <c r="AK421" s="162"/>
      <c r="AL421" s="165"/>
      <c r="AM421" s="166"/>
      <c r="AN421" s="165"/>
      <c r="AO421" s="160"/>
      <c r="AP421" s="162"/>
      <c r="AQ421" s="161"/>
      <c r="AR421" s="162"/>
      <c r="AS421" s="161"/>
      <c r="AT421" s="165"/>
      <c r="AU421" s="166"/>
      <c r="AV421" s="165"/>
      <c r="AW421" s="166"/>
      <c r="AX421" s="165"/>
      <c r="AY421" s="165"/>
      <c r="AZ421" s="165"/>
      <c r="BA421" s="165"/>
      <c r="BB421" s="166"/>
      <c r="BC421" s="165"/>
      <c r="BD421" s="165"/>
      <c r="BE421" s="165"/>
      <c r="BF421" s="165"/>
      <c r="BG421" s="165"/>
      <c r="BH421" s="165"/>
      <c r="BI421" s="165"/>
      <c r="BJ421" s="166"/>
      <c r="BK421" s="165"/>
      <c r="BL421" s="165"/>
      <c r="BM421" s="163"/>
      <c r="BN421" s="165"/>
      <c r="BO421" s="165"/>
      <c r="BP421" s="165"/>
      <c r="BQ421" s="167"/>
    </row>
    <row r="422" spans="1:270" ht="39.950000000000003" customHeight="1" outlineLevel="1" x14ac:dyDescent="0.3">
      <c r="A422" s="17" t="s">
        <v>550</v>
      </c>
      <c r="B422" s="12" t="s">
        <v>1285</v>
      </c>
      <c r="C422" s="21" t="s">
        <v>30</v>
      </c>
      <c r="D422" s="67" t="s">
        <v>553</v>
      </c>
      <c r="E422" s="158">
        <f t="shared" si="88"/>
        <v>315.40341999999998</v>
      </c>
      <c r="F422" s="159">
        <f>H422+L422+Q422+Y422+T422+AK422+AP422+AM422+AR422+AU422+AW422+BB422+BJ422</f>
        <v>0</v>
      </c>
      <c r="G422" s="160">
        <f>I422+J422+K422+M422+N422+R422+S422+V422+W422+AD422+O422+X422+Z422+AA422+AB422+AC422+AE422+AF422+P422+U422+AG422+AH422+AI422+AO422+AJ422+AL422+AQ422+AN422+AS422+AV422+AX422+AY422+AZ422+BA422+BC422+BD422+BE422+BF422+BG422+BH422+BI422+AT422+BK422+BL422+BN422+BO422+BP422+BQ422+BM422</f>
        <v>315.40341999999998</v>
      </c>
      <c r="H422" s="166"/>
      <c r="I422" s="165"/>
      <c r="J422" s="160"/>
      <c r="K422" s="160"/>
      <c r="L422" s="166"/>
      <c r="M422" s="165"/>
      <c r="N422" s="165"/>
      <c r="O422" s="165"/>
      <c r="P422" s="160"/>
      <c r="Q422" s="166"/>
      <c r="R422" s="165"/>
      <c r="S422" s="165"/>
      <c r="T422" s="159"/>
      <c r="U422" s="160"/>
      <c r="V422" s="165"/>
      <c r="W422" s="165"/>
      <c r="X422" s="160"/>
      <c r="Y422" s="166"/>
      <c r="Z422" s="160"/>
      <c r="AA422" s="160">
        <v>315.40341999999998</v>
      </c>
      <c r="AB422" s="165"/>
      <c r="AC422" s="165"/>
      <c r="AD422" s="165"/>
      <c r="AE422" s="165"/>
      <c r="AF422" s="160"/>
      <c r="AG422" s="160"/>
      <c r="AH422" s="160"/>
      <c r="AI422" s="160"/>
      <c r="AJ422" s="161"/>
      <c r="AK422" s="162"/>
      <c r="AL422" s="165"/>
      <c r="AM422" s="166"/>
      <c r="AN422" s="165"/>
      <c r="AO422" s="160"/>
      <c r="AP422" s="162"/>
      <c r="AQ422" s="161"/>
      <c r="AR422" s="162"/>
      <c r="AS422" s="161"/>
      <c r="AT422" s="165"/>
      <c r="AU422" s="166"/>
      <c r="AV422" s="165"/>
      <c r="AW422" s="166"/>
      <c r="AX422" s="165"/>
      <c r="AY422" s="165"/>
      <c r="AZ422" s="165"/>
      <c r="BA422" s="165"/>
      <c r="BB422" s="166"/>
      <c r="BC422" s="165"/>
      <c r="BD422" s="165"/>
      <c r="BE422" s="165"/>
      <c r="BF422" s="165"/>
      <c r="BG422" s="165"/>
      <c r="BH422" s="165"/>
      <c r="BI422" s="165"/>
      <c r="BJ422" s="166"/>
      <c r="BK422" s="165"/>
      <c r="BL422" s="165"/>
      <c r="BM422" s="163"/>
      <c r="BN422" s="165"/>
      <c r="BO422" s="165"/>
      <c r="BP422" s="165"/>
      <c r="BQ422" s="167"/>
    </row>
    <row r="423" spans="1:270" ht="39.950000000000003" customHeight="1" outlineLevel="1" x14ac:dyDescent="0.3">
      <c r="A423" s="17" t="s">
        <v>550</v>
      </c>
      <c r="B423" s="14" t="s">
        <v>551</v>
      </c>
      <c r="C423" s="9" t="s">
        <v>6</v>
      </c>
      <c r="D423" s="66" t="s">
        <v>552</v>
      </c>
      <c r="E423" s="158">
        <f t="shared" si="88"/>
        <v>1152.37949</v>
      </c>
      <c r="F423" s="159">
        <f>H423+L423+Q423+Y423+T423+AK423+AP423+AM423+AR423+AU423+AW423+BB423+BJ423</f>
        <v>718.10646000000008</v>
      </c>
      <c r="G423" s="160">
        <f>I423+J423+K423+M423+N423+R423+S423+V423+W423+AD423+O423+X423+Z423+AA423+AB423+AC423+AE423+AF423+P423+U423+AG423+AH423+AI423+AO423+AJ423+AL423+AQ423+AN423+AS423+AV423+AX423+AY423+AZ423+BA423+BC423+BD423+BE423+BF423+BG423+BH423+BI423+AT423+BK423+BL423+BN423+BO423+BP423+BQ423+BM423</f>
        <v>434.27303000000001</v>
      </c>
      <c r="H423" s="166">
        <v>560.15925000000004</v>
      </c>
      <c r="I423" s="165">
        <v>186.71975</v>
      </c>
      <c r="J423" s="160"/>
      <c r="K423" s="160"/>
      <c r="L423" s="166">
        <v>157.94721000000001</v>
      </c>
      <c r="M423" s="165">
        <v>247.55328</v>
      </c>
      <c r="N423" s="165"/>
      <c r="O423" s="165"/>
      <c r="P423" s="160"/>
      <c r="Q423" s="166"/>
      <c r="R423" s="165"/>
      <c r="S423" s="165"/>
      <c r="T423" s="159"/>
      <c r="U423" s="160"/>
      <c r="V423" s="165"/>
      <c r="W423" s="165"/>
      <c r="X423" s="160"/>
      <c r="Y423" s="166"/>
      <c r="Z423" s="160"/>
      <c r="AA423" s="160"/>
      <c r="AB423" s="165"/>
      <c r="AC423" s="165"/>
      <c r="AD423" s="165"/>
      <c r="AE423" s="165"/>
      <c r="AF423" s="160"/>
      <c r="AG423" s="160"/>
      <c r="AH423" s="160"/>
      <c r="AI423" s="160"/>
      <c r="AJ423" s="161"/>
      <c r="AK423" s="162"/>
      <c r="AL423" s="165"/>
      <c r="AM423" s="166"/>
      <c r="AN423" s="165"/>
      <c r="AO423" s="160"/>
      <c r="AP423" s="162"/>
      <c r="AQ423" s="161"/>
      <c r="AR423" s="162"/>
      <c r="AS423" s="161"/>
      <c r="AT423" s="165"/>
      <c r="AU423" s="166"/>
      <c r="AV423" s="165"/>
      <c r="AW423" s="166"/>
      <c r="AX423" s="165"/>
      <c r="AY423" s="165"/>
      <c r="AZ423" s="165"/>
      <c r="BA423" s="165"/>
      <c r="BB423" s="166"/>
      <c r="BC423" s="165"/>
      <c r="BD423" s="165"/>
      <c r="BE423" s="165"/>
      <c r="BF423" s="165"/>
      <c r="BG423" s="165"/>
      <c r="BH423" s="165"/>
      <c r="BI423" s="165"/>
      <c r="BJ423" s="166"/>
      <c r="BK423" s="165"/>
      <c r="BL423" s="165"/>
      <c r="BM423" s="163"/>
      <c r="BN423" s="165"/>
      <c r="BO423" s="165"/>
      <c r="BP423" s="165"/>
      <c r="BQ423" s="167"/>
    </row>
    <row r="424" spans="1:270" s="34" customFormat="1" ht="39.950000000000003" customHeight="1" x14ac:dyDescent="0.3">
      <c r="A424" s="114" t="s">
        <v>556</v>
      </c>
      <c r="B424" s="120"/>
      <c r="C424" s="116" t="s">
        <v>80</v>
      </c>
      <c r="D424" s="117"/>
      <c r="E424" s="171">
        <f>SUBTOTAL(9,E420:E423)</f>
        <v>2017.0113200000001</v>
      </c>
      <c r="F424" s="171">
        <f t="shared" ref="F424:BP424" si="89">SUBTOTAL(9,F420:F423)</f>
        <v>718.10646000000008</v>
      </c>
      <c r="G424" s="171">
        <f t="shared" si="89"/>
        <v>1298.9048600000001</v>
      </c>
      <c r="H424" s="171">
        <f t="shared" si="89"/>
        <v>560.15925000000004</v>
      </c>
      <c r="I424" s="171">
        <f t="shared" si="89"/>
        <v>186.71975</v>
      </c>
      <c r="J424" s="171">
        <f t="shared" si="89"/>
        <v>0</v>
      </c>
      <c r="K424" s="171">
        <f t="shared" si="89"/>
        <v>0</v>
      </c>
      <c r="L424" s="171">
        <f t="shared" si="89"/>
        <v>157.94721000000001</v>
      </c>
      <c r="M424" s="171">
        <f t="shared" si="89"/>
        <v>247.55328</v>
      </c>
      <c r="N424" s="171">
        <f t="shared" si="89"/>
        <v>0</v>
      </c>
      <c r="O424" s="171">
        <f>SUBTOTAL(9,O420:O423)</f>
        <v>0</v>
      </c>
      <c r="P424" s="171">
        <f>SUBTOTAL(9,P420:P423)</f>
        <v>0</v>
      </c>
      <c r="Q424" s="171">
        <f t="shared" si="89"/>
        <v>0</v>
      </c>
      <c r="R424" s="171">
        <f t="shared" si="89"/>
        <v>0</v>
      </c>
      <c r="S424" s="171">
        <f t="shared" si="89"/>
        <v>0</v>
      </c>
      <c r="T424" s="171">
        <f>SUBTOTAL(9,T420:T423)</f>
        <v>0</v>
      </c>
      <c r="U424" s="171">
        <f>SUBTOTAL(9,U420:U423)</f>
        <v>0</v>
      </c>
      <c r="V424" s="171">
        <f t="shared" si="89"/>
        <v>0</v>
      </c>
      <c r="W424" s="171">
        <f t="shared" si="89"/>
        <v>316.16000000000003</v>
      </c>
      <c r="X424" s="171">
        <f>SUBTOTAL(9,X420:X423)</f>
        <v>0</v>
      </c>
      <c r="Y424" s="171">
        <f t="shared" si="89"/>
        <v>0</v>
      </c>
      <c r="Z424" s="171">
        <f t="shared" si="89"/>
        <v>0</v>
      </c>
      <c r="AA424" s="171">
        <f t="shared" si="89"/>
        <v>548.47182999999995</v>
      </c>
      <c r="AB424" s="171">
        <f t="shared" si="89"/>
        <v>0</v>
      </c>
      <c r="AC424" s="171">
        <f t="shared" si="89"/>
        <v>0</v>
      </c>
      <c r="AD424" s="171">
        <f>SUBTOTAL(9,AD420:AD423)</f>
        <v>0</v>
      </c>
      <c r="AE424" s="171">
        <f t="shared" si="89"/>
        <v>0</v>
      </c>
      <c r="AF424" s="171">
        <f t="shared" si="89"/>
        <v>0</v>
      </c>
      <c r="AG424" s="171">
        <f t="shared" si="89"/>
        <v>0</v>
      </c>
      <c r="AH424" s="171">
        <f t="shared" si="89"/>
        <v>0</v>
      </c>
      <c r="AI424" s="171">
        <f t="shared" si="89"/>
        <v>0</v>
      </c>
      <c r="AJ424" s="171">
        <f t="shared" si="89"/>
        <v>0</v>
      </c>
      <c r="AK424" s="171">
        <f t="shared" si="89"/>
        <v>0</v>
      </c>
      <c r="AL424" s="171">
        <f t="shared" si="89"/>
        <v>0</v>
      </c>
      <c r="AM424" s="171">
        <f>SUBTOTAL(9,AM420:AM423)</f>
        <v>0</v>
      </c>
      <c r="AN424" s="171">
        <f>SUBTOTAL(9,AN420:AN423)</f>
        <v>0</v>
      </c>
      <c r="AO424" s="171">
        <f>SUBTOTAL(9,AO420:AO423)</f>
        <v>0</v>
      </c>
      <c r="AP424" s="171">
        <f t="shared" si="89"/>
        <v>0</v>
      </c>
      <c r="AQ424" s="171">
        <f t="shared" si="89"/>
        <v>0</v>
      </c>
      <c r="AR424" s="171">
        <f t="shared" si="89"/>
        <v>0</v>
      </c>
      <c r="AS424" s="171">
        <f t="shared" si="89"/>
        <v>0</v>
      </c>
      <c r="AT424" s="171">
        <f>SUBTOTAL(9,AT420:AT423)</f>
        <v>0</v>
      </c>
      <c r="AU424" s="171">
        <f t="shared" si="89"/>
        <v>0</v>
      </c>
      <c r="AV424" s="171">
        <f t="shared" si="89"/>
        <v>0</v>
      </c>
      <c r="AW424" s="171">
        <f t="shared" si="89"/>
        <v>0</v>
      </c>
      <c r="AX424" s="171">
        <f t="shared" si="89"/>
        <v>0</v>
      </c>
      <c r="AY424" s="171">
        <f t="shared" si="89"/>
        <v>0</v>
      </c>
      <c r="AZ424" s="171">
        <f t="shared" si="89"/>
        <v>0</v>
      </c>
      <c r="BA424" s="171">
        <f t="shared" si="89"/>
        <v>0</v>
      </c>
      <c r="BB424" s="171">
        <f t="shared" si="89"/>
        <v>0</v>
      </c>
      <c r="BC424" s="171">
        <f t="shared" si="89"/>
        <v>0</v>
      </c>
      <c r="BD424" s="171">
        <f t="shared" si="89"/>
        <v>0</v>
      </c>
      <c r="BE424" s="171">
        <f t="shared" si="89"/>
        <v>0</v>
      </c>
      <c r="BF424" s="171">
        <f t="shared" si="89"/>
        <v>0</v>
      </c>
      <c r="BG424" s="171">
        <f t="shared" si="89"/>
        <v>0</v>
      </c>
      <c r="BH424" s="171">
        <f t="shared" si="89"/>
        <v>0</v>
      </c>
      <c r="BI424" s="171">
        <f t="shared" si="89"/>
        <v>0</v>
      </c>
      <c r="BJ424" s="171">
        <f t="shared" si="89"/>
        <v>0</v>
      </c>
      <c r="BK424" s="171">
        <f t="shared" si="89"/>
        <v>0</v>
      </c>
      <c r="BL424" s="171">
        <f t="shared" si="89"/>
        <v>0</v>
      </c>
      <c r="BM424" s="172">
        <f>SUBTOTAL(9,BM420:BM423)</f>
        <v>0</v>
      </c>
      <c r="BN424" s="171">
        <f t="shared" si="89"/>
        <v>0</v>
      </c>
      <c r="BO424" s="171">
        <f t="shared" si="89"/>
        <v>0</v>
      </c>
      <c r="BP424" s="171">
        <f t="shared" si="89"/>
        <v>0</v>
      </c>
      <c r="BQ424" s="172">
        <f t="shared" ref="BQ424" si="90">SUBTOTAL(9,BQ420:BQ423)</f>
        <v>0</v>
      </c>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c r="DV424" s="40"/>
      <c r="DW424" s="40"/>
      <c r="DX424" s="40"/>
      <c r="DY424" s="40"/>
      <c r="DZ424" s="40"/>
      <c r="EA424" s="40"/>
      <c r="EB424" s="40"/>
      <c r="EC424" s="40"/>
      <c r="ED424" s="40"/>
      <c r="EE424" s="40"/>
      <c r="EF424" s="40"/>
      <c r="EG424" s="40"/>
      <c r="EH424" s="40"/>
      <c r="EI424" s="40"/>
      <c r="EJ424" s="40"/>
      <c r="EK424" s="40"/>
      <c r="EL424" s="40"/>
      <c r="EM424" s="40"/>
      <c r="EN424" s="40"/>
      <c r="EO424" s="40"/>
      <c r="EP424" s="40"/>
      <c r="EQ424" s="40"/>
      <c r="ER424" s="40"/>
      <c r="ES424" s="40"/>
      <c r="ET424" s="40"/>
      <c r="EU424" s="40"/>
      <c r="EV424" s="40"/>
      <c r="EW424" s="40"/>
      <c r="EX424" s="40"/>
      <c r="EY424" s="40"/>
      <c r="EZ424" s="40"/>
      <c r="FA424" s="40"/>
      <c r="FB424" s="40"/>
      <c r="FC424" s="40"/>
      <c r="FD424" s="40"/>
      <c r="FE424" s="40"/>
      <c r="FF424" s="40"/>
      <c r="FG424" s="40"/>
      <c r="FH424" s="40"/>
      <c r="FI424" s="40"/>
      <c r="FJ424" s="40"/>
      <c r="FK424" s="40"/>
      <c r="FL424" s="40"/>
      <c r="FM424" s="40"/>
      <c r="FN424" s="40"/>
      <c r="FO424" s="40"/>
      <c r="FP424" s="40"/>
      <c r="FQ424" s="40"/>
      <c r="FR424" s="40"/>
      <c r="FS424" s="40"/>
      <c r="FT424" s="40"/>
      <c r="FU424" s="40"/>
      <c r="FV424" s="40"/>
      <c r="FW424" s="40"/>
      <c r="FX424" s="40"/>
      <c r="FY424" s="40"/>
      <c r="FZ424" s="40"/>
      <c r="GA424" s="40"/>
      <c r="GB424" s="40"/>
      <c r="GC424" s="40"/>
      <c r="GD424" s="40"/>
      <c r="GE424" s="40"/>
      <c r="GF424" s="40"/>
      <c r="GG424" s="40"/>
      <c r="GH424" s="40"/>
      <c r="GI424" s="40"/>
      <c r="GJ424" s="40"/>
      <c r="GK424" s="40"/>
      <c r="GL424" s="40"/>
      <c r="GM424" s="40"/>
      <c r="GN424" s="40"/>
      <c r="GO424" s="40"/>
      <c r="GP424" s="40"/>
      <c r="GQ424" s="40"/>
      <c r="GR424" s="40"/>
      <c r="GS424" s="40"/>
      <c r="GT424" s="40"/>
      <c r="GU424" s="40"/>
      <c r="GV424" s="40"/>
      <c r="GW424" s="40"/>
      <c r="GX424" s="40"/>
      <c r="GY424" s="40"/>
      <c r="GZ424" s="40"/>
      <c r="HA424" s="40"/>
      <c r="HB424" s="40"/>
      <c r="HC424" s="40"/>
      <c r="HD424" s="40"/>
      <c r="HE424" s="40"/>
      <c r="HF424" s="40"/>
      <c r="HG424" s="40"/>
      <c r="HH424" s="40"/>
      <c r="HI424" s="40"/>
      <c r="HJ424" s="40"/>
      <c r="HK424" s="40"/>
      <c r="HL424" s="40"/>
      <c r="HM424" s="40"/>
      <c r="HN424" s="40"/>
      <c r="HO424" s="40"/>
      <c r="HP424" s="40"/>
      <c r="HQ424" s="40"/>
      <c r="HR424" s="40"/>
      <c r="HS424" s="40"/>
      <c r="HT424" s="40"/>
      <c r="HU424" s="40"/>
      <c r="HV424" s="40"/>
      <c r="HW424" s="40"/>
      <c r="HX424" s="40"/>
      <c r="HY424" s="40"/>
      <c r="HZ424" s="40"/>
      <c r="IA424" s="40"/>
      <c r="IB424" s="40"/>
      <c r="IC424" s="40"/>
      <c r="ID424" s="40"/>
      <c r="IE424" s="40"/>
      <c r="IF424" s="40"/>
      <c r="IG424" s="40"/>
      <c r="IH424" s="40"/>
      <c r="II424" s="40"/>
      <c r="IJ424" s="40"/>
      <c r="IK424" s="40"/>
      <c r="IL424" s="40"/>
      <c r="IM424" s="40"/>
      <c r="IN424" s="40"/>
      <c r="IO424" s="40"/>
      <c r="IP424" s="40"/>
      <c r="IQ424" s="40"/>
      <c r="IR424" s="40"/>
      <c r="IS424" s="40"/>
      <c r="IT424" s="40"/>
      <c r="IU424" s="40"/>
      <c r="IV424" s="40"/>
      <c r="IW424" s="40"/>
      <c r="IX424" s="40"/>
      <c r="IY424" s="40"/>
      <c r="IZ424" s="40"/>
      <c r="JA424" s="40"/>
      <c r="JB424" s="40"/>
      <c r="JC424" s="40"/>
      <c r="JD424" s="40"/>
      <c r="JE424" s="40"/>
      <c r="JF424" s="40"/>
      <c r="JG424" s="40"/>
      <c r="JH424" s="40"/>
      <c r="JI424" s="40"/>
      <c r="JJ424" s="40"/>
    </row>
    <row r="425" spans="1:270" ht="39.950000000000003" customHeight="1" outlineLevel="1" x14ac:dyDescent="0.3">
      <c r="A425" s="17" t="s">
        <v>557</v>
      </c>
      <c r="B425" s="14" t="s">
        <v>602</v>
      </c>
      <c r="C425" s="9" t="s">
        <v>28</v>
      </c>
      <c r="D425" s="66" t="s">
        <v>603</v>
      </c>
      <c r="E425" s="158">
        <f t="shared" ref="E425:E464" si="91">F425+G425</f>
        <v>54.380570000000006</v>
      </c>
      <c r="F425" s="159">
        <f t="shared" ref="F425:F464" si="92">H425+L425+Q425+Y425+T425+AK425+AP425+AM425+AR425+AU425+AW425+BB425+BJ425</f>
        <v>21.18187</v>
      </c>
      <c r="G425" s="160">
        <f t="shared" ref="G425:G464" si="93">I425+J425+K425+M425+N425+R425+S425+V425+W425+AD425+O425+X425+Z425+AA425+AB425+AC425+AE425+AF425+P425+U425+AG425+AH425+AI425+AO425+AJ425+AL425+AQ425+AN425+AS425+AV425+AX425+AY425+AZ425+BA425+BC425+BD425+BE425+BF425+BG425+BH425+BI425+AT425+BK425+BL425+BN425+BO425+BP425+BQ425+BM425</f>
        <v>33.198700000000002</v>
      </c>
      <c r="H425" s="166"/>
      <c r="I425" s="165"/>
      <c r="J425" s="160"/>
      <c r="K425" s="160"/>
      <c r="L425" s="166">
        <v>21.18187</v>
      </c>
      <c r="M425" s="165">
        <v>33.198700000000002</v>
      </c>
      <c r="N425" s="165"/>
      <c r="O425" s="165"/>
      <c r="P425" s="160"/>
      <c r="Q425" s="166"/>
      <c r="R425" s="165"/>
      <c r="S425" s="165"/>
      <c r="T425" s="159"/>
      <c r="U425" s="160"/>
      <c r="V425" s="165"/>
      <c r="W425" s="165"/>
      <c r="X425" s="160"/>
      <c r="Y425" s="166"/>
      <c r="Z425" s="160"/>
      <c r="AA425" s="160"/>
      <c r="AB425" s="165"/>
      <c r="AC425" s="165"/>
      <c r="AD425" s="165"/>
      <c r="AE425" s="165"/>
      <c r="AF425" s="160"/>
      <c r="AG425" s="160"/>
      <c r="AH425" s="160"/>
      <c r="AI425" s="160"/>
      <c r="AJ425" s="161"/>
      <c r="AK425" s="162"/>
      <c r="AL425" s="165"/>
      <c r="AM425" s="166"/>
      <c r="AN425" s="165"/>
      <c r="AO425" s="160"/>
      <c r="AP425" s="162"/>
      <c r="AQ425" s="161"/>
      <c r="AR425" s="162"/>
      <c r="AS425" s="161"/>
      <c r="AT425" s="165"/>
      <c r="AU425" s="166"/>
      <c r="AV425" s="165"/>
      <c r="AW425" s="166"/>
      <c r="AX425" s="165"/>
      <c r="AY425" s="165"/>
      <c r="AZ425" s="165"/>
      <c r="BA425" s="165"/>
      <c r="BB425" s="166"/>
      <c r="BC425" s="165"/>
      <c r="BD425" s="165"/>
      <c r="BE425" s="165"/>
      <c r="BF425" s="165"/>
      <c r="BG425" s="165"/>
      <c r="BH425" s="165"/>
      <c r="BI425" s="165"/>
      <c r="BJ425" s="166"/>
      <c r="BK425" s="165"/>
      <c r="BL425" s="165"/>
      <c r="BM425" s="163"/>
      <c r="BN425" s="165"/>
      <c r="BO425" s="165"/>
      <c r="BP425" s="165"/>
      <c r="BQ425" s="167"/>
    </row>
    <row r="426" spans="1:270" ht="39.950000000000003" customHeight="1" outlineLevel="1" x14ac:dyDescent="0.3">
      <c r="A426" s="17" t="s">
        <v>557</v>
      </c>
      <c r="B426" s="14" t="s">
        <v>577</v>
      </c>
      <c r="C426" s="9" t="s">
        <v>30</v>
      </c>
      <c r="D426" s="66" t="s">
        <v>578</v>
      </c>
      <c r="E426" s="158">
        <f t="shared" si="91"/>
        <v>91.738689999999991</v>
      </c>
      <c r="F426" s="159">
        <f t="shared" si="92"/>
        <v>35.7333</v>
      </c>
      <c r="G426" s="160">
        <f t="shared" si="93"/>
        <v>56.005389999999998</v>
      </c>
      <c r="H426" s="166"/>
      <c r="I426" s="165"/>
      <c r="J426" s="160"/>
      <c r="K426" s="160"/>
      <c r="L426" s="166">
        <v>35.7333</v>
      </c>
      <c r="M426" s="165">
        <v>56.005389999999998</v>
      </c>
      <c r="N426" s="165"/>
      <c r="O426" s="165"/>
      <c r="P426" s="160"/>
      <c r="Q426" s="166"/>
      <c r="R426" s="165"/>
      <c r="S426" s="165"/>
      <c r="T426" s="159"/>
      <c r="U426" s="160"/>
      <c r="V426" s="165"/>
      <c r="W426" s="165"/>
      <c r="X426" s="160"/>
      <c r="Y426" s="166"/>
      <c r="Z426" s="160"/>
      <c r="AA426" s="160"/>
      <c r="AB426" s="165"/>
      <c r="AC426" s="165"/>
      <c r="AD426" s="165"/>
      <c r="AE426" s="165"/>
      <c r="AF426" s="160"/>
      <c r="AG426" s="160"/>
      <c r="AH426" s="160"/>
      <c r="AI426" s="160"/>
      <c r="AJ426" s="161"/>
      <c r="AK426" s="162"/>
      <c r="AL426" s="165"/>
      <c r="AM426" s="166"/>
      <c r="AN426" s="165"/>
      <c r="AO426" s="160"/>
      <c r="AP426" s="162"/>
      <c r="AQ426" s="161"/>
      <c r="AR426" s="162"/>
      <c r="AS426" s="161"/>
      <c r="AT426" s="165"/>
      <c r="AU426" s="166"/>
      <c r="AV426" s="165"/>
      <c r="AW426" s="166"/>
      <c r="AX426" s="165"/>
      <c r="AY426" s="165"/>
      <c r="AZ426" s="165"/>
      <c r="BA426" s="165"/>
      <c r="BB426" s="166"/>
      <c r="BC426" s="165"/>
      <c r="BD426" s="165"/>
      <c r="BE426" s="165"/>
      <c r="BF426" s="165"/>
      <c r="BG426" s="165"/>
      <c r="BH426" s="165"/>
      <c r="BI426" s="165"/>
      <c r="BJ426" s="166"/>
      <c r="BK426" s="165"/>
      <c r="BL426" s="165"/>
      <c r="BM426" s="163"/>
      <c r="BN426" s="165"/>
      <c r="BO426" s="165"/>
      <c r="BP426" s="165"/>
      <c r="BQ426" s="167"/>
    </row>
    <row r="427" spans="1:270" ht="39.950000000000003" customHeight="1" outlineLevel="1" x14ac:dyDescent="0.3">
      <c r="A427" s="17" t="s">
        <v>557</v>
      </c>
      <c r="B427" s="14" t="s">
        <v>575</v>
      </c>
      <c r="C427" s="9" t="s">
        <v>30</v>
      </c>
      <c r="D427" s="66" t="s">
        <v>576</v>
      </c>
      <c r="E427" s="158">
        <f t="shared" si="91"/>
        <v>909.63940000000002</v>
      </c>
      <c r="F427" s="159">
        <f t="shared" si="92"/>
        <v>20.641459999999999</v>
      </c>
      <c r="G427" s="160">
        <f t="shared" si="93"/>
        <v>888.99793999999997</v>
      </c>
      <c r="H427" s="166"/>
      <c r="I427" s="165"/>
      <c r="J427" s="160"/>
      <c r="K427" s="160"/>
      <c r="L427" s="166">
        <v>20.641459999999999</v>
      </c>
      <c r="M427" s="165">
        <v>32.351709999999997</v>
      </c>
      <c r="N427" s="165"/>
      <c r="O427" s="165"/>
      <c r="P427" s="160"/>
      <c r="Q427" s="166"/>
      <c r="R427" s="165"/>
      <c r="S427" s="165"/>
      <c r="T427" s="159"/>
      <c r="U427" s="160"/>
      <c r="V427" s="165"/>
      <c r="W427" s="165">
        <v>391.04</v>
      </c>
      <c r="X427" s="160"/>
      <c r="Y427" s="166"/>
      <c r="Z427" s="160"/>
      <c r="AA427" s="160"/>
      <c r="AB427" s="165"/>
      <c r="AC427" s="165"/>
      <c r="AD427" s="165"/>
      <c r="AE427" s="165"/>
      <c r="AF427" s="160"/>
      <c r="AG427" s="160"/>
      <c r="AH427" s="160"/>
      <c r="AI427" s="160"/>
      <c r="AJ427" s="161"/>
      <c r="AK427" s="162"/>
      <c r="AL427" s="165"/>
      <c r="AM427" s="166"/>
      <c r="AN427" s="165"/>
      <c r="AO427" s="160"/>
      <c r="AP427" s="162"/>
      <c r="AQ427" s="161"/>
      <c r="AR427" s="162"/>
      <c r="AS427" s="161"/>
      <c r="AT427" s="165"/>
      <c r="AU427" s="166"/>
      <c r="AV427" s="165"/>
      <c r="AW427" s="166"/>
      <c r="AX427" s="165"/>
      <c r="AY427" s="165"/>
      <c r="AZ427" s="165"/>
      <c r="BA427" s="165"/>
      <c r="BB427" s="166"/>
      <c r="BC427" s="165"/>
      <c r="BD427" s="165"/>
      <c r="BE427" s="165"/>
      <c r="BF427" s="165">
        <v>465.60622999999998</v>
      </c>
      <c r="BG427" s="165"/>
      <c r="BH427" s="165"/>
      <c r="BI427" s="165"/>
      <c r="BJ427" s="166"/>
      <c r="BK427" s="165"/>
      <c r="BL427" s="165"/>
      <c r="BM427" s="163"/>
      <c r="BN427" s="165"/>
      <c r="BO427" s="165"/>
      <c r="BP427" s="165"/>
      <c r="BQ427" s="167"/>
    </row>
    <row r="428" spans="1:270" ht="39.950000000000003" customHeight="1" outlineLevel="1" x14ac:dyDescent="0.3">
      <c r="A428" s="17" t="s">
        <v>557</v>
      </c>
      <c r="B428" s="14" t="s">
        <v>579</v>
      </c>
      <c r="C428" s="9" t="s">
        <v>30</v>
      </c>
      <c r="D428" s="66" t="s">
        <v>580</v>
      </c>
      <c r="E428" s="158">
        <f t="shared" si="91"/>
        <v>562.41287</v>
      </c>
      <c r="F428" s="159">
        <f t="shared" si="92"/>
        <v>133.73438999999999</v>
      </c>
      <c r="G428" s="160">
        <f t="shared" si="93"/>
        <v>428.67848000000004</v>
      </c>
      <c r="H428" s="166">
        <v>57.476999999999997</v>
      </c>
      <c r="I428" s="165">
        <v>19.158999999999999</v>
      </c>
      <c r="J428" s="160"/>
      <c r="K428" s="160"/>
      <c r="L428" s="166">
        <v>76.257390000000001</v>
      </c>
      <c r="M428" s="165">
        <v>119.51948</v>
      </c>
      <c r="N428" s="165"/>
      <c r="O428" s="165">
        <v>290</v>
      </c>
      <c r="P428" s="160"/>
      <c r="Q428" s="166"/>
      <c r="R428" s="165"/>
      <c r="S428" s="165"/>
      <c r="T428" s="159"/>
      <c r="U428" s="160"/>
      <c r="V428" s="165"/>
      <c r="W428" s="165"/>
      <c r="X428" s="160"/>
      <c r="Y428" s="166"/>
      <c r="Z428" s="160"/>
      <c r="AA428" s="160"/>
      <c r="AB428" s="165"/>
      <c r="AC428" s="165"/>
      <c r="AD428" s="165"/>
      <c r="AE428" s="165"/>
      <c r="AF428" s="160"/>
      <c r="AG428" s="160"/>
      <c r="AH428" s="160"/>
      <c r="AI428" s="160"/>
      <c r="AJ428" s="161"/>
      <c r="AK428" s="162"/>
      <c r="AL428" s="165"/>
      <c r="AM428" s="166"/>
      <c r="AN428" s="165"/>
      <c r="AO428" s="160"/>
      <c r="AP428" s="162"/>
      <c r="AQ428" s="161"/>
      <c r="AR428" s="162"/>
      <c r="AS428" s="161"/>
      <c r="AT428" s="165"/>
      <c r="AU428" s="166"/>
      <c r="AV428" s="165"/>
      <c r="AW428" s="166"/>
      <c r="AX428" s="165"/>
      <c r="AY428" s="165"/>
      <c r="AZ428" s="165"/>
      <c r="BA428" s="165"/>
      <c r="BB428" s="166"/>
      <c r="BC428" s="165"/>
      <c r="BD428" s="165"/>
      <c r="BE428" s="165"/>
      <c r="BF428" s="165"/>
      <c r="BG428" s="165"/>
      <c r="BH428" s="165"/>
      <c r="BI428" s="165"/>
      <c r="BJ428" s="166"/>
      <c r="BK428" s="165"/>
      <c r="BL428" s="165"/>
      <c r="BM428" s="163"/>
      <c r="BN428" s="165"/>
      <c r="BO428" s="165"/>
      <c r="BP428" s="165"/>
      <c r="BQ428" s="167"/>
    </row>
    <row r="429" spans="1:270" ht="39.950000000000003" customHeight="1" outlineLevel="1" x14ac:dyDescent="0.3">
      <c r="A429" s="17" t="s">
        <v>557</v>
      </c>
      <c r="B429" s="14" t="s">
        <v>1338</v>
      </c>
      <c r="C429" s="9" t="s">
        <v>30</v>
      </c>
      <c r="D429" s="66">
        <v>250813017992</v>
      </c>
      <c r="E429" s="158">
        <f t="shared" si="91"/>
        <v>52.8</v>
      </c>
      <c r="F429" s="159">
        <f t="shared" si="92"/>
        <v>0</v>
      </c>
      <c r="G429" s="160">
        <f t="shared" si="93"/>
        <v>52.8</v>
      </c>
      <c r="H429" s="166"/>
      <c r="I429" s="165"/>
      <c r="J429" s="160"/>
      <c r="K429" s="160"/>
      <c r="L429" s="166"/>
      <c r="M429" s="165"/>
      <c r="N429" s="165"/>
      <c r="O429" s="165"/>
      <c r="P429" s="160"/>
      <c r="Q429" s="166"/>
      <c r="R429" s="165"/>
      <c r="S429" s="165">
        <v>52.8</v>
      </c>
      <c r="T429" s="159"/>
      <c r="U429" s="160"/>
      <c r="V429" s="165"/>
      <c r="W429" s="165"/>
      <c r="X429" s="160"/>
      <c r="Y429" s="166"/>
      <c r="Z429" s="160"/>
      <c r="AA429" s="160"/>
      <c r="AB429" s="165"/>
      <c r="AC429" s="165"/>
      <c r="AD429" s="165"/>
      <c r="AE429" s="165"/>
      <c r="AF429" s="160"/>
      <c r="AG429" s="160"/>
      <c r="AH429" s="160"/>
      <c r="AI429" s="160"/>
      <c r="AJ429" s="161"/>
      <c r="AK429" s="162"/>
      <c r="AL429" s="165"/>
      <c r="AM429" s="166"/>
      <c r="AN429" s="165"/>
      <c r="AO429" s="160"/>
      <c r="AP429" s="162"/>
      <c r="AQ429" s="161"/>
      <c r="AR429" s="162"/>
      <c r="AS429" s="161"/>
      <c r="AT429" s="165"/>
      <c r="AU429" s="166"/>
      <c r="AV429" s="165"/>
      <c r="AW429" s="166"/>
      <c r="AX429" s="165"/>
      <c r="AY429" s="165"/>
      <c r="AZ429" s="165"/>
      <c r="BA429" s="165"/>
      <c r="BB429" s="166"/>
      <c r="BC429" s="165"/>
      <c r="BD429" s="165"/>
      <c r="BE429" s="165"/>
      <c r="BF429" s="165"/>
      <c r="BG429" s="165"/>
      <c r="BH429" s="165"/>
      <c r="BI429" s="165"/>
      <c r="BJ429" s="166"/>
      <c r="BK429" s="165"/>
      <c r="BL429" s="165"/>
      <c r="BM429" s="163"/>
      <c r="BN429" s="165"/>
      <c r="BO429" s="165"/>
      <c r="BP429" s="165"/>
      <c r="BQ429" s="167"/>
    </row>
    <row r="430" spans="1:270" ht="39.950000000000003" customHeight="1" outlineLevel="1" x14ac:dyDescent="0.3">
      <c r="A430" s="17" t="s">
        <v>557</v>
      </c>
      <c r="B430" s="14" t="s">
        <v>581</v>
      </c>
      <c r="C430" s="9" t="s">
        <v>30</v>
      </c>
      <c r="D430" s="66" t="s">
        <v>582</v>
      </c>
      <c r="E430" s="158">
        <f t="shared" si="91"/>
        <v>45.244590000000002</v>
      </c>
      <c r="F430" s="159">
        <f t="shared" si="92"/>
        <v>17.6233</v>
      </c>
      <c r="G430" s="160">
        <f t="shared" si="93"/>
        <v>27.621289999999998</v>
      </c>
      <c r="H430" s="166"/>
      <c r="I430" s="165"/>
      <c r="J430" s="160"/>
      <c r="K430" s="160"/>
      <c r="L430" s="166">
        <v>17.6233</v>
      </c>
      <c r="M430" s="165">
        <v>27.621289999999998</v>
      </c>
      <c r="N430" s="165"/>
      <c r="O430" s="165"/>
      <c r="P430" s="160"/>
      <c r="Q430" s="166"/>
      <c r="R430" s="165"/>
      <c r="S430" s="165"/>
      <c r="T430" s="159"/>
      <c r="U430" s="160"/>
      <c r="V430" s="165"/>
      <c r="W430" s="165"/>
      <c r="X430" s="160"/>
      <c r="Y430" s="166"/>
      <c r="Z430" s="160"/>
      <c r="AA430" s="160"/>
      <c r="AB430" s="165"/>
      <c r="AC430" s="165"/>
      <c r="AD430" s="165"/>
      <c r="AE430" s="165"/>
      <c r="AF430" s="160"/>
      <c r="AG430" s="160"/>
      <c r="AH430" s="160"/>
      <c r="AI430" s="160"/>
      <c r="AJ430" s="161"/>
      <c r="AK430" s="162"/>
      <c r="AL430" s="165"/>
      <c r="AM430" s="166"/>
      <c r="AN430" s="165"/>
      <c r="AO430" s="160"/>
      <c r="AP430" s="162"/>
      <c r="AQ430" s="161"/>
      <c r="AR430" s="162"/>
      <c r="AS430" s="161"/>
      <c r="AT430" s="165"/>
      <c r="AU430" s="166"/>
      <c r="AV430" s="165"/>
      <c r="AW430" s="166"/>
      <c r="AX430" s="165"/>
      <c r="AY430" s="165"/>
      <c r="AZ430" s="165"/>
      <c r="BA430" s="165"/>
      <c r="BB430" s="166"/>
      <c r="BC430" s="165"/>
      <c r="BD430" s="165"/>
      <c r="BE430" s="165"/>
      <c r="BF430" s="165"/>
      <c r="BG430" s="165"/>
      <c r="BH430" s="165"/>
      <c r="BI430" s="165"/>
      <c r="BJ430" s="166"/>
      <c r="BK430" s="165"/>
      <c r="BL430" s="165"/>
      <c r="BM430" s="163"/>
      <c r="BN430" s="165"/>
      <c r="BO430" s="165"/>
      <c r="BP430" s="165"/>
      <c r="BQ430" s="167"/>
    </row>
    <row r="431" spans="1:270" ht="39.950000000000003" customHeight="1" outlineLevel="1" x14ac:dyDescent="0.3">
      <c r="A431" s="17" t="s">
        <v>557</v>
      </c>
      <c r="B431" s="14" t="s">
        <v>1411</v>
      </c>
      <c r="C431" s="9" t="s">
        <v>30</v>
      </c>
      <c r="D431" s="66">
        <v>242201562290</v>
      </c>
      <c r="E431" s="158">
        <f t="shared" si="91"/>
        <v>2592.5</v>
      </c>
      <c r="F431" s="159">
        <f t="shared" si="92"/>
        <v>0</v>
      </c>
      <c r="G431" s="160">
        <f t="shared" si="93"/>
        <v>2592.5</v>
      </c>
      <c r="H431" s="166"/>
      <c r="I431" s="165"/>
      <c r="J431" s="160"/>
      <c r="K431" s="160"/>
      <c r="L431" s="166"/>
      <c r="M431" s="165"/>
      <c r="N431" s="165"/>
      <c r="O431" s="165"/>
      <c r="P431" s="160"/>
      <c r="Q431" s="166"/>
      <c r="R431" s="165"/>
      <c r="S431" s="165"/>
      <c r="T431" s="159"/>
      <c r="U431" s="160"/>
      <c r="V431" s="165"/>
      <c r="W431" s="165"/>
      <c r="X431" s="160"/>
      <c r="Y431" s="166"/>
      <c r="Z431" s="160"/>
      <c r="AA431" s="160"/>
      <c r="AB431" s="165"/>
      <c r="AC431" s="165"/>
      <c r="AD431" s="165"/>
      <c r="AE431" s="165"/>
      <c r="AF431" s="160"/>
      <c r="AG431" s="160"/>
      <c r="AH431" s="160"/>
      <c r="AI431" s="160"/>
      <c r="AJ431" s="161">
        <v>2592.5</v>
      </c>
      <c r="AK431" s="162"/>
      <c r="AL431" s="165"/>
      <c r="AM431" s="166"/>
      <c r="AN431" s="165"/>
      <c r="AO431" s="160"/>
      <c r="AP431" s="162"/>
      <c r="AQ431" s="161"/>
      <c r="AR431" s="162"/>
      <c r="AS431" s="161"/>
      <c r="AT431" s="165"/>
      <c r="AU431" s="166"/>
      <c r="AV431" s="165"/>
      <c r="AW431" s="166"/>
      <c r="AX431" s="165"/>
      <c r="AY431" s="165"/>
      <c r="AZ431" s="165"/>
      <c r="BA431" s="165"/>
      <c r="BB431" s="166"/>
      <c r="BC431" s="165"/>
      <c r="BD431" s="165"/>
      <c r="BE431" s="165"/>
      <c r="BF431" s="165"/>
      <c r="BG431" s="165"/>
      <c r="BH431" s="165"/>
      <c r="BI431" s="165"/>
      <c r="BJ431" s="166"/>
      <c r="BK431" s="165"/>
      <c r="BL431" s="165"/>
      <c r="BM431" s="163"/>
      <c r="BN431" s="165"/>
      <c r="BO431" s="165"/>
      <c r="BP431" s="165"/>
      <c r="BQ431" s="167"/>
    </row>
    <row r="432" spans="1:270" ht="39.950000000000003" customHeight="1" outlineLevel="1" x14ac:dyDescent="0.3">
      <c r="A432" s="17" t="s">
        <v>557</v>
      </c>
      <c r="B432" s="14" t="s">
        <v>1147</v>
      </c>
      <c r="C432" s="9" t="s">
        <v>30</v>
      </c>
      <c r="D432" s="9" t="s">
        <v>1204</v>
      </c>
      <c r="E432" s="158">
        <f t="shared" si="91"/>
        <v>18.97973</v>
      </c>
      <c r="F432" s="159">
        <f t="shared" si="92"/>
        <v>7.39283</v>
      </c>
      <c r="G432" s="160">
        <f t="shared" si="93"/>
        <v>11.5869</v>
      </c>
      <c r="H432" s="166"/>
      <c r="I432" s="165"/>
      <c r="J432" s="160"/>
      <c r="K432" s="160"/>
      <c r="L432" s="166">
        <v>7.39283</v>
      </c>
      <c r="M432" s="165">
        <v>11.5869</v>
      </c>
      <c r="N432" s="165"/>
      <c r="O432" s="165"/>
      <c r="P432" s="160"/>
      <c r="Q432" s="166"/>
      <c r="R432" s="165"/>
      <c r="S432" s="165"/>
      <c r="T432" s="159"/>
      <c r="U432" s="160"/>
      <c r="V432" s="165"/>
      <c r="W432" s="165"/>
      <c r="X432" s="160"/>
      <c r="Y432" s="166"/>
      <c r="Z432" s="160"/>
      <c r="AA432" s="160"/>
      <c r="AB432" s="165"/>
      <c r="AC432" s="165"/>
      <c r="AD432" s="165"/>
      <c r="AE432" s="165"/>
      <c r="AF432" s="160"/>
      <c r="AG432" s="160"/>
      <c r="AH432" s="160"/>
      <c r="AI432" s="160"/>
      <c r="AJ432" s="161"/>
      <c r="AK432" s="162"/>
      <c r="AL432" s="165"/>
      <c r="AM432" s="166"/>
      <c r="AN432" s="165"/>
      <c r="AO432" s="160"/>
      <c r="AP432" s="162"/>
      <c r="AQ432" s="161"/>
      <c r="AR432" s="162"/>
      <c r="AS432" s="161"/>
      <c r="AT432" s="165"/>
      <c r="AU432" s="166"/>
      <c r="AV432" s="165"/>
      <c r="AW432" s="166"/>
      <c r="AX432" s="165"/>
      <c r="AY432" s="165"/>
      <c r="AZ432" s="165"/>
      <c r="BA432" s="165"/>
      <c r="BB432" s="166"/>
      <c r="BC432" s="165"/>
      <c r="BD432" s="165"/>
      <c r="BE432" s="165"/>
      <c r="BF432" s="165"/>
      <c r="BG432" s="165"/>
      <c r="BH432" s="165"/>
      <c r="BI432" s="165"/>
      <c r="BJ432" s="166"/>
      <c r="BK432" s="165"/>
      <c r="BL432" s="165"/>
      <c r="BM432" s="163"/>
      <c r="BN432" s="165"/>
      <c r="BO432" s="165"/>
      <c r="BP432" s="165"/>
      <c r="BQ432" s="167"/>
    </row>
    <row r="433" spans="1:69" ht="39.950000000000003" customHeight="1" outlineLevel="1" x14ac:dyDescent="0.3">
      <c r="A433" s="17" t="s">
        <v>557</v>
      </c>
      <c r="B433" s="14" t="s">
        <v>1296</v>
      </c>
      <c r="C433" s="9" t="s">
        <v>30</v>
      </c>
      <c r="D433" s="66" t="s">
        <v>587</v>
      </c>
      <c r="E433" s="158">
        <f t="shared" si="91"/>
        <v>56.886439999999993</v>
      </c>
      <c r="F433" s="159">
        <f t="shared" si="92"/>
        <v>22.15794</v>
      </c>
      <c r="G433" s="160">
        <f t="shared" si="93"/>
        <v>34.728499999999997</v>
      </c>
      <c r="H433" s="166"/>
      <c r="I433" s="165"/>
      <c r="J433" s="160"/>
      <c r="K433" s="160"/>
      <c r="L433" s="166">
        <v>22.15794</v>
      </c>
      <c r="M433" s="165">
        <v>34.728499999999997</v>
      </c>
      <c r="N433" s="165"/>
      <c r="O433" s="165"/>
      <c r="P433" s="160"/>
      <c r="Q433" s="166"/>
      <c r="R433" s="165"/>
      <c r="S433" s="165"/>
      <c r="T433" s="159"/>
      <c r="U433" s="160"/>
      <c r="V433" s="165"/>
      <c r="W433" s="165"/>
      <c r="X433" s="160"/>
      <c r="Y433" s="166"/>
      <c r="Z433" s="160"/>
      <c r="AA433" s="160"/>
      <c r="AB433" s="165"/>
      <c r="AC433" s="165"/>
      <c r="AD433" s="165"/>
      <c r="AE433" s="165"/>
      <c r="AF433" s="160"/>
      <c r="AG433" s="160"/>
      <c r="AH433" s="160"/>
      <c r="AI433" s="160"/>
      <c r="AJ433" s="161"/>
      <c r="AK433" s="162"/>
      <c r="AL433" s="165"/>
      <c r="AM433" s="166"/>
      <c r="AN433" s="165"/>
      <c r="AO433" s="160"/>
      <c r="AP433" s="162"/>
      <c r="AQ433" s="161"/>
      <c r="AR433" s="162"/>
      <c r="AS433" s="161"/>
      <c r="AT433" s="165"/>
      <c r="AU433" s="166"/>
      <c r="AV433" s="165"/>
      <c r="AW433" s="166"/>
      <c r="AX433" s="165"/>
      <c r="AY433" s="165"/>
      <c r="AZ433" s="165"/>
      <c r="BA433" s="165"/>
      <c r="BB433" s="166"/>
      <c r="BC433" s="165"/>
      <c r="BD433" s="165"/>
      <c r="BE433" s="165"/>
      <c r="BF433" s="165"/>
      <c r="BG433" s="165"/>
      <c r="BH433" s="165"/>
      <c r="BI433" s="165"/>
      <c r="BJ433" s="166"/>
      <c r="BK433" s="165"/>
      <c r="BL433" s="165"/>
      <c r="BM433" s="163"/>
      <c r="BN433" s="165"/>
      <c r="BO433" s="165"/>
      <c r="BP433" s="165"/>
      <c r="BQ433" s="167"/>
    </row>
    <row r="434" spans="1:69" ht="39.950000000000003" customHeight="1" outlineLevel="1" x14ac:dyDescent="0.3">
      <c r="A434" s="17" t="s">
        <v>557</v>
      </c>
      <c r="B434" s="14" t="s">
        <v>1551</v>
      </c>
      <c r="C434" s="9" t="s">
        <v>30</v>
      </c>
      <c r="D434" s="87">
        <v>242200644409</v>
      </c>
      <c r="E434" s="158">
        <f t="shared" si="91"/>
        <v>42.5</v>
      </c>
      <c r="F434" s="159">
        <f t="shared" si="92"/>
        <v>0</v>
      </c>
      <c r="G434" s="160">
        <f t="shared" si="93"/>
        <v>42.5</v>
      </c>
      <c r="H434" s="166"/>
      <c r="I434" s="165"/>
      <c r="J434" s="160"/>
      <c r="K434" s="160"/>
      <c r="L434" s="166"/>
      <c r="M434" s="165"/>
      <c r="N434" s="165"/>
      <c r="O434" s="165"/>
      <c r="P434" s="160"/>
      <c r="Q434" s="166"/>
      <c r="R434" s="165"/>
      <c r="S434" s="165">
        <v>42.5</v>
      </c>
      <c r="T434" s="159"/>
      <c r="U434" s="160"/>
      <c r="V434" s="165"/>
      <c r="W434" s="165"/>
      <c r="X434" s="160"/>
      <c r="Y434" s="166"/>
      <c r="Z434" s="160"/>
      <c r="AA434" s="160"/>
      <c r="AB434" s="165"/>
      <c r="AC434" s="165"/>
      <c r="AD434" s="165"/>
      <c r="AE434" s="165"/>
      <c r="AF434" s="160"/>
      <c r="AG434" s="160"/>
      <c r="AH434" s="160"/>
      <c r="AI434" s="160"/>
      <c r="AJ434" s="161"/>
      <c r="AK434" s="162"/>
      <c r="AL434" s="165"/>
      <c r="AM434" s="166"/>
      <c r="AN434" s="165"/>
      <c r="AO434" s="160"/>
      <c r="AP434" s="162"/>
      <c r="AQ434" s="161"/>
      <c r="AR434" s="162"/>
      <c r="AS434" s="161"/>
      <c r="AT434" s="165"/>
      <c r="AU434" s="166"/>
      <c r="AV434" s="165"/>
      <c r="AW434" s="166"/>
      <c r="AX434" s="165"/>
      <c r="AY434" s="165"/>
      <c r="AZ434" s="165"/>
      <c r="BA434" s="165"/>
      <c r="BB434" s="166"/>
      <c r="BC434" s="165"/>
      <c r="BD434" s="165"/>
      <c r="BE434" s="165"/>
      <c r="BF434" s="165"/>
      <c r="BG434" s="165"/>
      <c r="BH434" s="165"/>
      <c r="BI434" s="165"/>
      <c r="BJ434" s="166"/>
      <c r="BK434" s="165"/>
      <c r="BL434" s="165"/>
      <c r="BM434" s="163"/>
      <c r="BN434" s="165"/>
      <c r="BO434" s="165"/>
      <c r="BP434" s="165"/>
      <c r="BQ434" s="167"/>
    </row>
    <row r="435" spans="1:69" ht="39.950000000000003" customHeight="1" outlineLevel="1" x14ac:dyDescent="0.3">
      <c r="A435" s="17" t="s">
        <v>557</v>
      </c>
      <c r="B435" s="14" t="s">
        <v>588</v>
      </c>
      <c r="C435" s="27" t="s">
        <v>30</v>
      </c>
      <c r="D435" s="66" t="s">
        <v>589</v>
      </c>
      <c r="E435" s="158">
        <f t="shared" si="91"/>
        <v>249.65800999999999</v>
      </c>
      <c r="F435" s="159">
        <f t="shared" si="92"/>
        <v>30.722280000000001</v>
      </c>
      <c r="G435" s="160">
        <f t="shared" si="93"/>
        <v>218.93572999999998</v>
      </c>
      <c r="H435" s="166"/>
      <c r="I435" s="165"/>
      <c r="J435" s="160"/>
      <c r="K435" s="160"/>
      <c r="L435" s="166">
        <v>30.722280000000001</v>
      </c>
      <c r="M435" s="165">
        <v>48.151539999999997</v>
      </c>
      <c r="N435" s="165"/>
      <c r="O435" s="165"/>
      <c r="P435" s="160"/>
      <c r="Q435" s="166"/>
      <c r="R435" s="165"/>
      <c r="S435" s="165"/>
      <c r="T435" s="159"/>
      <c r="U435" s="160"/>
      <c r="V435" s="165"/>
      <c r="W435" s="165"/>
      <c r="X435" s="160"/>
      <c r="Y435" s="166"/>
      <c r="Z435" s="160"/>
      <c r="AA435" s="160"/>
      <c r="AB435" s="165"/>
      <c r="AC435" s="165"/>
      <c r="AD435" s="165"/>
      <c r="AE435" s="165"/>
      <c r="AF435" s="160"/>
      <c r="AG435" s="160"/>
      <c r="AH435" s="160"/>
      <c r="AI435" s="160"/>
      <c r="AJ435" s="161"/>
      <c r="AK435" s="162"/>
      <c r="AL435" s="165"/>
      <c r="AM435" s="166"/>
      <c r="AN435" s="165"/>
      <c r="AO435" s="160"/>
      <c r="AP435" s="162"/>
      <c r="AQ435" s="161"/>
      <c r="AR435" s="162"/>
      <c r="AS435" s="161"/>
      <c r="AT435" s="165"/>
      <c r="AU435" s="166"/>
      <c r="AV435" s="165"/>
      <c r="AW435" s="166"/>
      <c r="AX435" s="165"/>
      <c r="AY435" s="165"/>
      <c r="AZ435" s="165"/>
      <c r="BA435" s="165"/>
      <c r="BB435" s="166"/>
      <c r="BC435" s="165"/>
      <c r="BD435" s="165"/>
      <c r="BE435" s="165">
        <v>170.78419</v>
      </c>
      <c r="BF435" s="165"/>
      <c r="BG435" s="165"/>
      <c r="BH435" s="165"/>
      <c r="BI435" s="165"/>
      <c r="BJ435" s="166"/>
      <c r="BK435" s="165"/>
      <c r="BL435" s="165"/>
      <c r="BM435" s="163"/>
      <c r="BN435" s="165"/>
      <c r="BO435" s="165"/>
      <c r="BP435" s="165"/>
      <c r="BQ435" s="167"/>
    </row>
    <row r="436" spans="1:69" ht="39.950000000000003" customHeight="1" outlineLevel="1" x14ac:dyDescent="0.3">
      <c r="A436" s="17" t="s">
        <v>557</v>
      </c>
      <c r="B436" s="14" t="s">
        <v>590</v>
      </c>
      <c r="C436" s="9" t="s">
        <v>30</v>
      </c>
      <c r="D436" s="66">
        <v>242305479449</v>
      </c>
      <c r="E436" s="158">
        <f t="shared" si="91"/>
        <v>157.65314000000001</v>
      </c>
      <c r="F436" s="159">
        <f t="shared" si="92"/>
        <v>12.79668</v>
      </c>
      <c r="G436" s="160">
        <f t="shared" si="93"/>
        <v>144.85646</v>
      </c>
      <c r="H436" s="166"/>
      <c r="I436" s="165"/>
      <c r="J436" s="160"/>
      <c r="K436" s="160"/>
      <c r="L436" s="166">
        <v>12.79668</v>
      </c>
      <c r="M436" s="165">
        <v>20.056460000000001</v>
      </c>
      <c r="N436" s="165"/>
      <c r="O436" s="165"/>
      <c r="P436" s="160"/>
      <c r="Q436" s="166"/>
      <c r="R436" s="165"/>
      <c r="S436" s="165"/>
      <c r="T436" s="159"/>
      <c r="U436" s="160"/>
      <c r="V436" s="165"/>
      <c r="W436" s="165">
        <v>124.8</v>
      </c>
      <c r="X436" s="160"/>
      <c r="Y436" s="166"/>
      <c r="Z436" s="160"/>
      <c r="AA436" s="160"/>
      <c r="AB436" s="165"/>
      <c r="AC436" s="165"/>
      <c r="AD436" s="165"/>
      <c r="AE436" s="165"/>
      <c r="AF436" s="160"/>
      <c r="AG436" s="160"/>
      <c r="AH436" s="160"/>
      <c r="AI436" s="160"/>
      <c r="AJ436" s="161"/>
      <c r="AK436" s="162"/>
      <c r="AL436" s="165"/>
      <c r="AM436" s="166"/>
      <c r="AN436" s="165"/>
      <c r="AO436" s="160"/>
      <c r="AP436" s="162"/>
      <c r="AQ436" s="161"/>
      <c r="AR436" s="162"/>
      <c r="AS436" s="161"/>
      <c r="AT436" s="165"/>
      <c r="AU436" s="166"/>
      <c r="AV436" s="165"/>
      <c r="AW436" s="166"/>
      <c r="AX436" s="165"/>
      <c r="AY436" s="165"/>
      <c r="AZ436" s="165"/>
      <c r="BA436" s="165"/>
      <c r="BB436" s="166"/>
      <c r="BC436" s="165"/>
      <c r="BD436" s="165"/>
      <c r="BE436" s="165"/>
      <c r="BF436" s="165"/>
      <c r="BG436" s="165"/>
      <c r="BH436" s="165"/>
      <c r="BI436" s="165"/>
      <c r="BJ436" s="166"/>
      <c r="BK436" s="165"/>
      <c r="BL436" s="165"/>
      <c r="BM436" s="163"/>
      <c r="BN436" s="165"/>
      <c r="BO436" s="165"/>
      <c r="BP436" s="165"/>
      <c r="BQ436" s="167"/>
    </row>
    <row r="437" spans="1:69" ht="39.950000000000003" customHeight="1" outlineLevel="1" x14ac:dyDescent="0.3">
      <c r="A437" s="17" t="s">
        <v>557</v>
      </c>
      <c r="B437" s="14" t="s">
        <v>600</v>
      </c>
      <c r="C437" s="9" t="s">
        <v>30</v>
      </c>
      <c r="D437" s="9" t="s">
        <v>1206</v>
      </c>
      <c r="E437" s="158">
        <f t="shared" si="91"/>
        <v>1453.8680300000001</v>
      </c>
      <c r="F437" s="159">
        <f t="shared" si="92"/>
        <v>128.90944999999999</v>
      </c>
      <c r="G437" s="160">
        <f t="shared" si="93"/>
        <v>1324.95858</v>
      </c>
      <c r="H437" s="166"/>
      <c r="I437" s="165"/>
      <c r="J437" s="160"/>
      <c r="K437" s="160"/>
      <c r="L437" s="166">
        <f>35.83659+93.07286</f>
        <v>128.90944999999999</v>
      </c>
      <c r="M437" s="165">
        <f>56.16727+145.87464</f>
        <v>202.04191</v>
      </c>
      <c r="N437" s="165"/>
      <c r="O437" s="165"/>
      <c r="P437" s="160"/>
      <c r="Q437" s="166"/>
      <c r="R437" s="165"/>
      <c r="S437" s="165"/>
      <c r="T437" s="159"/>
      <c r="U437" s="160"/>
      <c r="V437" s="165"/>
      <c r="W437" s="165"/>
      <c r="X437" s="160"/>
      <c r="Y437" s="166"/>
      <c r="Z437" s="160"/>
      <c r="AA437" s="160"/>
      <c r="AB437" s="165"/>
      <c r="AC437" s="165"/>
      <c r="AD437" s="165"/>
      <c r="AE437" s="165"/>
      <c r="AF437" s="160"/>
      <c r="AG437" s="160"/>
      <c r="AH437" s="160"/>
      <c r="AI437" s="160"/>
      <c r="AJ437" s="161"/>
      <c r="AK437" s="162"/>
      <c r="AL437" s="165"/>
      <c r="AM437" s="166"/>
      <c r="AN437" s="165"/>
      <c r="AO437" s="160"/>
      <c r="AP437" s="162"/>
      <c r="AQ437" s="161"/>
      <c r="AR437" s="162"/>
      <c r="AS437" s="161"/>
      <c r="AT437" s="165"/>
      <c r="AU437" s="166"/>
      <c r="AV437" s="165"/>
      <c r="AW437" s="166"/>
      <c r="AX437" s="165"/>
      <c r="AY437" s="165"/>
      <c r="AZ437" s="165"/>
      <c r="BA437" s="165"/>
      <c r="BB437" s="166"/>
      <c r="BC437" s="165"/>
      <c r="BD437" s="165"/>
      <c r="BE437" s="165"/>
      <c r="BF437" s="165"/>
      <c r="BG437" s="165"/>
      <c r="BH437" s="165">
        <v>1122.9166700000001</v>
      </c>
      <c r="BI437" s="165"/>
      <c r="BJ437" s="166"/>
      <c r="BK437" s="165"/>
      <c r="BL437" s="165"/>
      <c r="BM437" s="163"/>
      <c r="BN437" s="165"/>
      <c r="BO437" s="165"/>
      <c r="BP437" s="165"/>
      <c r="BQ437" s="167"/>
    </row>
    <row r="438" spans="1:69" ht="39.950000000000003" customHeight="1" outlineLevel="1" x14ac:dyDescent="0.3">
      <c r="A438" s="17" t="s">
        <v>557</v>
      </c>
      <c r="B438" s="14" t="s">
        <v>1309</v>
      </c>
      <c r="C438" s="9" t="s">
        <v>30</v>
      </c>
      <c r="D438" s="66">
        <v>242200291182</v>
      </c>
      <c r="E438" s="158">
        <f t="shared" si="91"/>
        <v>34.202439999999996</v>
      </c>
      <c r="F438" s="159">
        <f t="shared" si="92"/>
        <v>13.32225</v>
      </c>
      <c r="G438" s="160">
        <f t="shared" si="93"/>
        <v>20.880189999999999</v>
      </c>
      <c r="H438" s="166"/>
      <c r="I438" s="165"/>
      <c r="J438" s="160"/>
      <c r="K438" s="160"/>
      <c r="L438" s="166">
        <v>13.32225</v>
      </c>
      <c r="M438" s="165">
        <v>20.880189999999999</v>
      </c>
      <c r="N438" s="165"/>
      <c r="O438" s="165"/>
      <c r="P438" s="160"/>
      <c r="Q438" s="166"/>
      <c r="R438" s="165"/>
      <c r="S438" s="165"/>
      <c r="T438" s="159"/>
      <c r="U438" s="160"/>
      <c r="V438" s="165"/>
      <c r="W438" s="165"/>
      <c r="X438" s="160"/>
      <c r="Y438" s="166"/>
      <c r="Z438" s="160"/>
      <c r="AA438" s="160"/>
      <c r="AB438" s="165"/>
      <c r="AC438" s="165"/>
      <c r="AD438" s="165"/>
      <c r="AE438" s="165"/>
      <c r="AF438" s="160"/>
      <c r="AG438" s="160"/>
      <c r="AH438" s="160"/>
      <c r="AI438" s="160"/>
      <c r="AJ438" s="161"/>
      <c r="AK438" s="162"/>
      <c r="AL438" s="165"/>
      <c r="AM438" s="166"/>
      <c r="AN438" s="165"/>
      <c r="AO438" s="160"/>
      <c r="AP438" s="162"/>
      <c r="AQ438" s="161"/>
      <c r="AR438" s="162"/>
      <c r="AS438" s="161"/>
      <c r="AT438" s="165"/>
      <c r="AU438" s="166"/>
      <c r="AV438" s="165"/>
      <c r="AW438" s="166"/>
      <c r="AX438" s="165"/>
      <c r="AY438" s="165"/>
      <c r="AZ438" s="165"/>
      <c r="BA438" s="165"/>
      <c r="BB438" s="166"/>
      <c r="BC438" s="165"/>
      <c r="BD438" s="165"/>
      <c r="BE438" s="165"/>
      <c r="BF438" s="165"/>
      <c r="BG438" s="165"/>
      <c r="BH438" s="165"/>
      <c r="BI438" s="165"/>
      <c r="BJ438" s="166"/>
      <c r="BK438" s="165"/>
      <c r="BL438" s="165"/>
      <c r="BM438" s="163"/>
      <c r="BN438" s="165"/>
      <c r="BO438" s="165"/>
      <c r="BP438" s="165"/>
      <c r="BQ438" s="167"/>
    </row>
    <row r="439" spans="1:69" ht="39.950000000000003" customHeight="1" outlineLevel="1" x14ac:dyDescent="0.3">
      <c r="A439" s="17" t="s">
        <v>557</v>
      </c>
      <c r="B439" s="14" t="s">
        <v>591</v>
      </c>
      <c r="C439" s="9" t="s">
        <v>30</v>
      </c>
      <c r="D439" s="66" t="s">
        <v>592</v>
      </c>
      <c r="E439" s="158">
        <f t="shared" si="91"/>
        <v>196.56164999999999</v>
      </c>
      <c r="F439" s="159">
        <f t="shared" si="92"/>
        <v>76.563069999999996</v>
      </c>
      <c r="G439" s="160">
        <f t="shared" si="93"/>
        <v>119.99858</v>
      </c>
      <c r="H439" s="166"/>
      <c r="I439" s="165"/>
      <c r="J439" s="160"/>
      <c r="K439" s="160"/>
      <c r="L439" s="166">
        <v>76.563069999999996</v>
      </c>
      <c r="M439" s="165">
        <v>119.99858</v>
      </c>
      <c r="N439" s="165"/>
      <c r="O439" s="165"/>
      <c r="P439" s="160"/>
      <c r="Q439" s="166"/>
      <c r="R439" s="165"/>
      <c r="S439" s="165"/>
      <c r="T439" s="159"/>
      <c r="U439" s="160"/>
      <c r="V439" s="165"/>
      <c r="W439" s="165"/>
      <c r="X439" s="160"/>
      <c r="Y439" s="166"/>
      <c r="Z439" s="160"/>
      <c r="AA439" s="160"/>
      <c r="AB439" s="165"/>
      <c r="AC439" s="165"/>
      <c r="AD439" s="165"/>
      <c r="AE439" s="165"/>
      <c r="AF439" s="160"/>
      <c r="AG439" s="160"/>
      <c r="AH439" s="160"/>
      <c r="AI439" s="160"/>
      <c r="AJ439" s="161"/>
      <c r="AK439" s="162"/>
      <c r="AL439" s="165"/>
      <c r="AM439" s="166"/>
      <c r="AN439" s="165"/>
      <c r="AO439" s="160"/>
      <c r="AP439" s="162"/>
      <c r="AQ439" s="161"/>
      <c r="AR439" s="162"/>
      <c r="AS439" s="161"/>
      <c r="AT439" s="165"/>
      <c r="AU439" s="166"/>
      <c r="AV439" s="165"/>
      <c r="AW439" s="166"/>
      <c r="AX439" s="165"/>
      <c r="AY439" s="165"/>
      <c r="AZ439" s="165"/>
      <c r="BA439" s="165"/>
      <c r="BB439" s="166"/>
      <c r="BC439" s="165"/>
      <c r="BD439" s="165"/>
      <c r="BE439" s="165"/>
      <c r="BF439" s="165"/>
      <c r="BG439" s="165"/>
      <c r="BH439" s="165"/>
      <c r="BI439" s="165"/>
      <c r="BJ439" s="166"/>
      <c r="BK439" s="165"/>
      <c r="BL439" s="165"/>
      <c r="BM439" s="163"/>
      <c r="BN439" s="165"/>
      <c r="BO439" s="165"/>
      <c r="BP439" s="165"/>
      <c r="BQ439" s="167"/>
    </row>
    <row r="440" spans="1:69" ht="39.950000000000003" customHeight="1" outlineLevel="1" x14ac:dyDescent="0.3">
      <c r="A440" s="17" t="s">
        <v>557</v>
      </c>
      <c r="B440" s="14" t="s">
        <v>1136</v>
      </c>
      <c r="C440" s="9" t="s">
        <v>30</v>
      </c>
      <c r="D440" s="9" t="s">
        <v>1205</v>
      </c>
      <c r="E440" s="158">
        <f t="shared" si="91"/>
        <v>126.88640000000001</v>
      </c>
      <c r="F440" s="159">
        <f t="shared" si="92"/>
        <v>69.216329999999999</v>
      </c>
      <c r="G440" s="160">
        <f t="shared" si="93"/>
        <v>57.670070000000003</v>
      </c>
      <c r="H440" s="166">
        <v>41.178719999999998</v>
      </c>
      <c r="I440" s="165">
        <v>13.72625</v>
      </c>
      <c r="J440" s="160"/>
      <c r="K440" s="160"/>
      <c r="L440" s="166">
        <v>28.037610000000001</v>
      </c>
      <c r="M440" s="165">
        <v>43.943820000000002</v>
      </c>
      <c r="N440" s="165"/>
      <c r="O440" s="165"/>
      <c r="P440" s="160"/>
      <c r="Q440" s="166"/>
      <c r="R440" s="165"/>
      <c r="S440" s="165"/>
      <c r="T440" s="159"/>
      <c r="U440" s="160"/>
      <c r="V440" s="165"/>
      <c r="W440" s="165"/>
      <c r="X440" s="160"/>
      <c r="Y440" s="166"/>
      <c r="Z440" s="160"/>
      <c r="AA440" s="160"/>
      <c r="AB440" s="165"/>
      <c r="AC440" s="165"/>
      <c r="AD440" s="165"/>
      <c r="AE440" s="165"/>
      <c r="AF440" s="160"/>
      <c r="AG440" s="160"/>
      <c r="AH440" s="160"/>
      <c r="AI440" s="160"/>
      <c r="AJ440" s="161"/>
      <c r="AK440" s="162"/>
      <c r="AL440" s="165"/>
      <c r="AM440" s="166"/>
      <c r="AN440" s="165"/>
      <c r="AO440" s="160"/>
      <c r="AP440" s="162"/>
      <c r="AQ440" s="161"/>
      <c r="AR440" s="162"/>
      <c r="AS440" s="161"/>
      <c r="AT440" s="165"/>
      <c r="AU440" s="166"/>
      <c r="AV440" s="165"/>
      <c r="AW440" s="166"/>
      <c r="AX440" s="165"/>
      <c r="AY440" s="165"/>
      <c r="AZ440" s="165"/>
      <c r="BA440" s="165"/>
      <c r="BB440" s="166"/>
      <c r="BC440" s="165"/>
      <c r="BD440" s="165"/>
      <c r="BE440" s="165"/>
      <c r="BF440" s="165"/>
      <c r="BG440" s="165"/>
      <c r="BH440" s="165"/>
      <c r="BI440" s="165"/>
      <c r="BJ440" s="166"/>
      <c r="BK440" s="165"/>
      <c r="BL440" s="165"/>
      <c r="BM440" s="163"/>
      <c r="BN440" s="165"/>
      <c r="BO440" s="165"/>
      <c r="BP440" s="165"/>
      <c r="BQ440" s="167"/>
    </row>
    <row r="441" spans="1:69" ht="39.950000000000003" customHeight="1" outlineLevel="1" x14ac:dyDescent="0.3">
      <c r="A441" s="17" t="s">
        <v>557</v>
      </c>
      <c r="B441" s="14" t="s">
        <v>601</v>
      </c>
      <c r="C441" s="9" t="s">
        <v>30</v>
      </c>
      <c r="D441" s="9" t="s">
        <v>1207</v>
      </c>
      <c r="E441" s="158">
        <f t="shared" si="91"/>
        <v>91.230500000000006</v>
      </c>
      <c r="F441" s="159">
        <f t="shared" si="92"/>
        <v>35.535350000000001</v>
      </c>
      <c r="G441" s="160">
        <f t="shared" si="93"/>
        <v>55.695149999999998</v>
      </c>
      <c r="H441" s="166"/>
      <c r="I441" s="165"/>
      <c r="J441" s="160"/>
      <c r="K441" s="160"/>
      <c r="L441" s="166">
        <v>35.535350000000001</v>
      </c>
      <c r="M441" s="165">
        <v>55.695149999999998</v>
      </c>
      <c r="N441" s="165"/>
      <c r="O441" s="165"/>
      <c r="P441" s="160"/>
      <c r="Q441" s="166"/>
      <c r="R441" s="165"/>
      <c r="S441" s="165"/>
      <c r="T441" s="159"/>
      <c r="U441" s="160"/>
      <c r="V441" s="165"/>
      <c r="W441" s="165"/>
      <c r="X441" s="160"/>
      <c r="Y441" s="166"/>
      <c r="Z441" s="160"/>
      <c r="AA441" s="160"/>
      <c r="AB441" s="165"/>
      <c r="AC441" s="165"/>
      <c r="AD441" s="165"/>
      <c r="AE441" s="165"/>
      <c r="AF441" s="160"/>
      <c r="AG441" s="160"/>
      <c r="AH441" s="160"/>
      <c r="AI441" s="160"/>
      <c r="AJ441" s="161"/>
      <c r="AK441" s="162"/>
      <c r="AL441" s="165"/>
      <c r="AM441" s="166"/>
      <c r="AN441" s="165"/>
      <c r="AO441" s="160"/>
      <c r="AP441" s="162"/>
      <c r="AQ441" s="161"/>
      <c r="AR441" s="162"/>
      <c r="AS441" s="161"/>
      <c r="AT441" s="165"/>
      <c r="AU441" s="166"/>
      <c r="AV441" s="165"/>
      <c r="AW441" s="166"/>
      <c r="AX441" s="165"/>
      <c r="AY441" s="165"/>
      <c r="AZ441" s="165"/>
      <c r="BA441" s="165"/>
      <c r="BB441" s="166"/>
      <c r="BC441" s="165"/>
      <c r="BD441" s="165"/>
      <c r="BE441" s="165"/>
      <c r="BF441" s="165"/>
      <c r="BG441" s="165"/>
      <c r="BH441" s="165"/>
      <c r="BI441" s="165"/>
      <c r="BJ441" s="166"/>
      <c r="BK441" s="165"/>
      <c r="BL441" s="165"/>
      <c r="BM441" s="163"/>
      <c r="BN441" s="165"/>
      <c r="BO441" s="165"/>
      <c r="BP441" s="165"/>
      <c r="BQ441" s="167"/>
    </row>
    <row r="442" spans="1:69" ht="39.950000000000003" customHeight="1" outlineLevel="1" x14ac:dyDescent="0.3">
      <c r="A442" s="17" t="s">
        <v>557</v>
      </c>
      <c r="B442" s="14" t="s">
        <v>593</v>
      </c>
      <c r="C442" s="9" t="s">
        <v>30</v>
      </c>
      <c r="D442" s="66" t="s">
        <v>594</v>
      </c>
      <c r="E442" s="158">
        <f t="shared" si="91"/>
        <v>70.887349999999998</v>
      </c>
      <c r="F442" s="159">
        <f t="shared" si="92"/>
        <v>27.611460000000001</v>
      </c>
      <c r="G442" s="160">
        <f t="shared" si="93"/>
        <v>43.275889999999997</v>
      </c>
      <c r="H442" s="166"/>
      <c r="I442" s="165"/>
      <c r="J442" s="160"/>
      <c r="K442" s="160"/>
      <c r="L442" s="166">
        <v>27.611460000000001</v>
      </c>
      <c r="M442" s="165">
        <v>43.275889999999997</v>
      </c>
      <c r="N442" s="165"/>
      <c r="O442" s="165"/>
      <c r="P442" s="160"/>
      <c r="Q442" s="166"/>
      <c r="R442" s="165"/>
      <c r="S442" s="165"/>
      <c r="T442" s="159"/>
      <c r="U442" s="160"/>
      <c r="V442" s="165"/>
      <c r="W442" s="165"/>
      <c r="X442" s="160"/>
      <c r="Y442" s="166"/>
      <c r="Z442" s="160"/>
      <c r="AA442" s="160"/>
      <c r="AB442" s="165"/>
      <c r="AC442" s="165"/>
      <c r="AD442" s="165"/>
      <c r="AE442" s="165"/>
      <c r="AF442" s="160"/>
      <c r="AG442" s="160"/>
      <c r="AH442" s="160"/>
      <c r="AI442" s="160"/>
      <c r="AJ442" s="161"/>
      <c r="AK442" s="162"/>
      <c r="AL442" s="165"/>
      <c r="AM442" s="166"/>
      <c r="AN442" s="165"/>
      <c r="AO442" s="160"/>
      <c r="AP442" s="162"/>
      <c r="AQ442" s="161"/>
      <c r="AR442" s="162"/>
      <c r="AS442" s="161"/>
      <c r="AT442" s="165"/>
      <c r="AU442" s="166"/>
      <c r="AV442" s="165"/>
      <c r="AW442" s="166"/>
      <c r="AX442" s="165"/>
      <c r="AY442" s="165"/>
      <c r="AZ442" s="165"/>
      <c r="BA442" s="165"/>
      <c r="BB442" s="166"/>
      <c r="BC442" s="165"/>
      <c r="BD442" s="165"/>
      <c r="BE442" s="165"/>
      <c r="BF442" s="165"/>
      <c r="BG442" s="165"/>
      <c r="BH442" s="165"/>
      <c r="BI442" s="165"/>
      <c r="BJ442" s="166"/>
      <c r="BK442" s="165"/>
      <c r="BL442" s="165"/>
      <c r="BM442" s="163"/>
      <c r="BN442" s="165"/>
      <c r="BO442" s="165"/>
      <c r="BP442" s="165"/>
      <c r="BQ442" s="167"/>
    </row>
    <row r="443" spans="1:69" ht="39.950000000000003" customHeight="1" outlineLevel="1" x14ac:dyDescent="0.3">
      <c r="A443" s="17" t="s">
        <v>557</v>
      </c>
      <c r="B443" s="14" t="s">
        <v>595</v>
      </c>
      <c r="C443" s="9" t="s">
        <v>30</v>
      </c>
      <c r="D443" s="66" t="s">
        <v>596</v>
      </c>
      <c r="E443" s="158">
        <f t="shared" si="91"/>
        <v>121.61956000000001</v>
      </c>
      <c r="F443" s="159">
        <f t="shared" si="92"/>
        <v>47.372250000000001</v>
      </c>
      <c r="G443" s="160">
        <f t="shared" si="93"/>
        <v>74.247309999999999</v>
      </c>
      <c r="H443" s="166"/>
      <c r="I443" s="165"/>
      <c r="J443" s="160"/>
      <c r="K443" s="160"/>
      <c r="L443" s="166">
        <v>47.372250000000001</v>
      </c>
      <c r="M443" s="165">
        <v>74.247309999999999</v>
      </c>
      <c r="N443" s="165"/>
      <c r="O443" s="165"/>
      <c r="P443" s="160"/>
      <c r="Q443" s="166"/>
      <c r="R443" s="165"/>
      <c r="S443" s="165"/>
      <c r="T443" s="159"/>
      <c r="U443" s="160"/>
      <c r="V443" s="165"/>
      <c r="W443" s="165"/>
      <c r="X443" s="160"/>
      <c r="Y443" s="166"/>
      <c r="Z443" s="160"/>
      <c r="AA443" s="160"/>
      <c r="AB443" s="165"/>
      <c r="AC443" s="165"/>
      <c r="AD443" s="165"/>
      <c r="AE443" s="165"/>
      <c r="AF443" s="160"/>
      <c r="AG443" s="160"/>
      <c r="AH443" s="160"/>
      <c r="AI443" s="160"/>
      <c r="AJ443" s="161"/>
      <c r="AK443" s="162"/>
      <c r="AL443" s="165"/>
      <c r="AM443" s="166"/>
      <c r="AN443" s="165"/>
      <c r="AO443" s="160"/>
      <c r="AP443" s="162"/>
      <c r="AQ443" s="161"/>
      <c r="AR443" s="162"/>
      <c r="AS443" s="161"/>
      <c r="AT443" s="165"/>
      <c r="AU443" s="166"/>
      <c r="AV443" s="165"/>
      <c r="AW443" s="166"/>
      <c r="AX443" s="165"/>
      <c r="AY443" s="165"/>
      <c r="AZ443" s="165"/>
      <c r="BA443" s="165"/>
      <c r="BB443" s="166"/>
      <c r="BC443" s="165"/>
      <c r="BD443" s="165"/>
      <c r="BE443" s="165"/>
      <c r="BF443" s="165"/>
      <c r="BG443" s="165"/>
      <c r="BH443" s="165"/>
      <c r="BI443" s="165"/>
      <c r="BJ443" s="166"/>
      <c r="BK443" s="165"/>
      <c r="BL443" s="165"/>
      <c r="BM443" s="163"/>
      <c r="BN443" s="165"/>
      <c r="BO443" s="165"/>
      <c r="BP443" s="165"/>
      <c r="BQ443" s="167"/>
    </row>
    <row r="444" spans="1:69" ht="39.950000000000003" customHeight="1" outlineLevel="1" x14ac:dyDescent="0.3">
      <c r="A444" s="17" t="s">
        <v>557</v>
      </c>
      <c r="B444" s="14" t="s">
        <v>1352</v>
      </c>
      <c r="C444" s="9" t="s">
        <v>30</v>
      </c>
      <c r="D444" s="9" t="s">
        <v>1334</v>
      </c>
      <c r="E444" s="158">
        <f t="shared" si="91"/>
        <v>428.29979000000003</v>
      </c>
      <c r="F444" s="159">
        <f t="shared" si="92"/>
        <v>16.963159999999998</v>
      </c>
      <c r="G444" s="160">
        <f t="shared" si="93"/>
        <v>411.33663000000001</v>
      </c>
      <c r="H444" s="166"/>
      <c r="I444" s="165"/>
      <c r="J444" s="160"/>
      <c r="K444" s="160"/>
      <c r="L444" s="166">
        <v>16.963159999999998</v>
      </c>
      <c r="M444" s="165">
        <v>26.58663</v>
      </c>
      <c r="N444" s="165"/>
      <c r="O444" s="165"/>
      <c r="P444" s="160"/>
      <c r="Q444" s="166"/>
      <c r="R444" s="165"/>
      <c r="S444" s="165"/>
      <c r="T444" s="159"/>
      <c r="U444" s="160"/>
      <c r="V444" s="165"/>
      <c r="W444" s="165"/>
      <c r="X444" s="160"/>
      <c r="Y444" s="166"/>
      <c r="Z444" s="160"/>
      <c r="AA444" s="160"/>
      <c r="AB444" s="165"/>
      <c r="AC444" s="165"/>
      <c r="AD444" s="165"/>
      <c r="AE444" s="165"/>
      <c r="AF444" s="160"/>
      <c r="AG444" s="160"/>
      <c r="AH444" s="160"/>
      <c r="AI444" s="160"/>
      <c r="AJ444" s="161"/>
      <c r="AK444" s="162"/>
      <c r="AL444" s="165"/>
      <c r="AM444" s="166"/>
      <c r="AN444" s="165"/>
      <c r="AO444" s="160"/>
      <c r="AP444" s="162"/>
      <c r="AQ444" s="161"/>
      <c r="AR444" s="162"/>
      <c r="AS444" s="161"/>
      <c r="AT444" s="165"/>
      <c r="AU444" s="166"/>
      <c r="AV444" s="165"/>
      <c r="AW444" s="166"/>
      <c r="AX444" s="165"/>
      <c r="AY444" s="165"/>
      <c r="AZ444" s="165"/>
      <c r="BA444" s="165"/>
      <c r="BB444" s="166"/>
      <c r="BC444" s="165"/>
      <c r="BD444" s="165"/>
      <c r="BE444" s="165"/>
      <c r="BF444" s="165">
        <v>384.75</v>
      </c>
      <c r="BG444" s="165"/>
      <c r="BH444" s="165"/>
      <c r="BI444" s="165"/>
      <c r="BJ444" s="166"/>
      <c r="BK444" s="165"/>
      <c r="BL444" s="165"/>
      <c r="BM444" s="163"/>
      <c r="BN444" s="165"/>
      <c r="BO444" s="165"/>
      <c r="BP444" s="165"/>
      <c r="BQ444" s="167"/>
    </row>
    <row r="445" spans="1:69" ht="39.950000000000003" customHeight="1" outlineLevel="1" x14ac:dyDescent="0.3">
      <c r="A445" s="17" t="s">
        <v>557</v>
      </c>
      <c r="B445" s="14" t="s">
        <v>583</v>
      </c>
      <c r="C445" s="9" t="s">
        <v>30</v>
      </c>
      <c r="D445" s="66" t="s">
        <v>584</v>
      </c>
      <c r="E445" s="158">
        <f t="shared" si="91"/>
        <v>1183.3368800000001</v>
      </c>
      <c r="F445" s="159">
        <f t="shared" si="92"/>
        <v>81.352209999999999</v>
      </c>
      <c r="G445" s="160">
        <f t="shared" si="93"/>
        <v>1101.9846700000001</v>
      </c>
      <c r="H445" s="166"/>
      <c r="I445" s="165"/>
      <c r="J445" s="160">
        <v>234</v>
      </c>
      <c r="K445" s="160"/>
      <c r="L445" s="166">
        <v>81.352209999999999</v>
      </c>
      <c r="M445" s="165">
        <v>127.50467</v>
      </c>
      <c r="N445" s="165"/>
      <c r="O445" s="165"/>
      <c r="P445" s="160"/>
      <c r="Q445" s="166"/>
      <c r="R445" s="165"/>
      <c r="S445" s="165"/>
      <c r="T445" s="159"/>
      <c r="U445" s="160"/>
      <c r="V445" s="165"/>
      <c r="W445" s="165">
        <v>740.48</v>
      </c>
      <c r="X445" s="160"/>
      <c r="Y445" s="166"/>
      <c r="Z445" s="160"/>
      <c r="AA445" s="160"/>
      <c r="AB445" s="165"/>
      <c r="AC445" s="165"/>
      <c r="AD445" s="165"/>
      <c r="AE445" s="165"/>
      <c r="AF445" s="160"/>
      <c r="AG445" s="160"/>
      <c r="AH445" s="160"/>
      <c r="AI445" s="160"/>
      <c r="AJ445" s="161"/>
      <c r="AK445" s="162"/>
      <c r="AL445" s="165"/>
      <c r="AM445" s="166"/>
      <c r="AN445" s="165"/>
      <c r="AO445" s="160"/>
      <c r="AP445" s="162"/>
      <c r="AQ445" s="161"/>
      <c r="AR445" s="162"/>
      <c r="AS445" s="161"/>
      <c r="AT445" s="165"/>
      <c r="AU445" s="166"/>
      <c r="AV445" s="165"/>
      <c r="AW445" s="166"/>
      <c r="AX445" s="165"/>
      <c r="AY445" s="165"/>
      <c r="AZ445" s="165"/>
      <c r="BA445" s="165"/>
      <c r="BB445" s="166"/>
      <c r="BC445" s="165"/>
      <c r="BD445" s="165"/>
      <c r="BE445" s="165"/>
      <c r="BF445" s="165"/>
      <c r="BG445" s="165"/>
      <c r="BH445" s="165"/>
      <c r="BI445" s="165"/>
      <c r="BJ445" s="166"/>
      <c r="BK445" s="165"/>
      <c r="BL445" s="165"/>
      <c r="BM445" s="163"/>
      <c r="BN445" s="165"/>
      <c r="BO445" s="165"/>
      <c r="BP445" s="165"/>
      <c r="BQ445" s="167"/>
    </row>
    <row r="446" spans="1:69" ht="39.950000000000003" customHeight="1" outlineLevel="1" x14ac:dyDescent="0.3">
      <c r="A446" s="17" t="s">
        <v>557</v>
      </c>
      <c r="B446" s="14" t="s">
        <v>1552</v>
      </c>
      <c r="C446" s="9" t="s">
        <v>30</v>
      </c>
      <c r="D446" s="66">
        <v>242201410788</v>
      </c>
      <c r="E446" s="158">
        <f t="shared" si="91"/>
        <v>56.465000000000003</v>
      </c>
      <c r="F446" s="159">
        <f t="shared" si="92"/>
        <v>0</v>
      </c>
      <c r="G446" s="160">
        <f t="shared" si="93"/>
        <v>56.465000000000003</v>
      </c>
      <c r="H446" s="166"/>
      <c r="I446" s="165"/>
      <c r="J446" s="160"/>
      <c r="K446" s="160"/>
      <c r="L446" s="166"/>
      <c r="M446" s="165"/>
      <c r="N446" s="165"/>
      <c r="O446" s="165"/>
      <c r="P446" s="160"/>
      <c r="Q446" s="166"/>
      <c r="R446" s="165"/>
      <c r="S446" s="165">
        <v>56.465000000000003</v>
      </c>
      <c r="T446" s="159"/>
      <c r="U446" s="160"/>
      <c r="V446" s="165"/>
      <c r="W446" s="165"/>
      <c r="X446" s="160"/>
      <c r="Y446" s="166"/>
      <c r="Z446" s="160"/>
      <c r="AA446" s="160"/>
      <c r="AB446" s="165"/>
      <c r="AC446" s="165"/>
      <c r="AD446" s="165"/>
      <c r="AE446" s="165"/>
      <c r="AF446" s="160"/>
      <c r="AG446" s="160"/>
      <c r="AH446" s="160"/>
      <c r="AI446" s="160"/>
      <c r="AJ446" s="161"/>
      <c r="AK446" s="162"/>
      <c r="AL446" s="165"/>
      <c r="AM446" s="166"/>
      <c r="AN446" s="165"/>
      <c r="AO446" s="160"/>
      <c r="AP446" s="162"/>
      <c r="AQ446" s="161"/>
      <c r="AR446" s="162"/>
      <c r="AS446" s="161"/>
      <c r="AT446" s="165"/>
      <c r="AU446" s="166"/>
      <c r="AV446" s="165"/>
      <c r="AW446" s="166"/>
      <c r="AX446" s="165"/>
      <c r="AY446" s="165"/>
      <c r="AZ446" s="165"/>
      <c r="BA446" s="165"/>
      <c r="BB446" s="166"/>
      <c r="BC446" s="165"/>
      <c r="BD446" s="165"/>
      <c r="BE446" s="165"/>
      <c r="BF446" s="165"/>
      <c r="BG446" s="165"/>
      <c r="BH446" s="165"/>
      <c r="BI446" s="165"/>
      <c r="BJ446" s="166"/>
      <c r="BK446" s="165"/>
      <c r="BL446" s="165"/>
      <c r="BM446" s="163"/>
      <c r="BN446" s="165"/>
      <c r="BO446" s="165"/>
      <c r="BP446" s="165"/>
      <c r="BQ446" s="167"/>
    </row>
    <row r="447" spans="1:69" ht="39.950000000000003" customHeight="1" outlineLevel="1" x14ac:dyDescent="0.3">
      <c r="A447" s="17" t="s">
        <v>557</v>
      </c>
      <c r="B447" s="14" t="s">
        <v>1113</v>
      </c>
      <c r="C447" s="9" t="s">
        <v>30</v>
      </c>
      <c r="D447" s="9" t="s">
        <v>1208</v>
      </c>
      <c r="E447" s="158">
        <f t="shared" si="91"/>
        <v>45.410809999999998</v>
      </c>
      <c r="F447" s="159">
        <f t="shared" si="92"/>
        <v>17.688040000000001</v>
      </c>
      <c r="G447" s="160">
        <f t="shared" si="93"/>
        <v>27.722770000000001</v>
      </c>
      <c r="H447" s="166"/>
      <c r="I447" s="165"/>
      <c r="J447" s="160"/>
      <c r="K447" s="160"/>
      <c r="L447" s="166">
        <v>17.688040000000001</v>
      </c>
      <c r="M447" s="165">
        <v>27.722770000000001</v>
      </c>
      <c r="N447" s="165"/>
      <c r="O447" s="165"/>
      <c r="P447" s="160"/>
      <c r="Q447" s="166"/>
      <c r="R447" s="165"/>
      <c r="S447" s="165"/>
      <c r="T447" s="159"/>
      <c r="U447" s="160"/>
      <c r="V447" s="165"/>
      <c r="W447" s="165"/>
      <c r="X447" s="160"/>
      <c r="Y447" s="166"/>
      <c r="Z447" s="160"/>
      <c r="AA447" s="160"/>
      <c r="AB447" s="165"/>
      <c r="AC447" s="165"/>
      <c r="AD447" s="165"/>
      <c r="AE447" s="165"/>
      <c r="AF447" s="160"/>
      <c r="AG447" s="160"/>
      <c r="AH447" s="160"/>
      <c r="AI447" s="160"/>
      <c r="AJ447" s="161"/>
      <c r="AK447" s="162"/>
      <c r="AL447" s="165"/>
      <c r="AM447" s="166"/>
      <c r="AN447" s="165"/>
      <c r="AO447" s="160"/>
      <c r="AP447" s="162"/>
      <c r="AQ447" s="161"/>
      <c r="AR447" s="162"/>
      <c r="AS447" s="161"/>
      <c r="AT447" s="165"/>
      <c r="AU447" s="166"/>
      <c r="AV447" s="165"/>
      <c r="AW447" s="166"/>
      <c r="AX447" s="165"/>
      <c r="AY447" s="165"/>
      <c r="AZ447" s="165"/>
      <c r="BA447" s="165"/>
      <c r="BB447" s="166"/>
      <c r="BC447" s="165"/>
      <c r="BD447" s="165"/>
      <c r="BE447" s="165"/>
      <c r="BF447" s="165"/>
      <c r="BG447" s="165"/>
      <c r="BH447" s="165"/>
      <c r="BI447" s="165"/>
      <c r="BJ447" s="166"/>
      <c r="BK447" s="165"/>
      <c r="BL447" s="165"/>
      <c r="BM447" s="163"/>
      <c r="BN447" s="165"/>
      <c r="BO447" s="165"/>
      <c r="BP447" s="165"/>
      <c r="BQ447" s="167"/>
    </row>
    <row r="448" spans="1:69" ht="39.950000000000003" customHeight="1" outlineLevel="1" x14ac:dyDescent="0.3">
      <c r="A448" s="17" t="s">
        <v>557</v>
      </c>
      <c r="B448" s="14" t="s">
        <v>585</v>
      </c>
      <c r="C448" s="9" t="s">
        <v>30</v>
      </c>
      <c r="D448" s="66" t="s">
        <v>586</v>
      </c>
      <c r="E448" s="158">
        <f t="shared" si="91"/>
        <v>276.58951999999999</v>
      </c>
      <c r="F448" s="159">
        <f t="shared" si="92"/>
        <v>107.73487</v>
      </c>
      <c r="G448" s="160">
        <f t="shared" si="93"/>
        <v>168.85464999999999</v>
      </c>
      <c r="H448" s="166"/>
      <c r="I448" s="165"/>
      <c r="J448" s="160"/>
      <c r="K448" s="160"/>
      <c r="L448" s="166">
        <v>107.73487</v>
      </c>
      <c r="M448" s="165">
        <v>168.85464999999999</v>
      </c>
      <c r="N448" s="165"/>
      <c r="O448" s="165"/>
      <c r="P448" s="160"/>
      <c r="Q448" s="166"/>
      <c r="R448" s="165"/>
      <c r="S448" s="165"/>
      <c r="T448" s="159"/>
      <c r="U448" s="160"/>
      <c r="V448" s="165"/>
      <c r="W448" s="165"/>
      <c r="X448" s="160"/>
      <c r="Y448" s="166"/>
      <c r="Z448" s="160"/>
      <c r="AA448" s="160"/>
      <c r="AB448" s="165"/>
      <c r="AC448" s="165"/>
      <c r="AD448" s="165"/>
      <c r="AE448" s="165"/>
      <c r="AF448" s="160"/>
      <c r="AG448" s="160"/>
      <c r="AH448" s="160"/>
      <c r="AI448" s="160"/>
      <c r="AJ448" s="161"/>
      <c r="AK448" s="162"/>
      <c r="AL448" s="165"/>
      <c r="AM448" s="166"/>
      <c r="AN448" s="165"/>
      <c r="AO448" s="160"/>
      <c r="AP448" s="162"/>
      <c r="AQ448" s="161"/>
      <c r="AR448" s="162"/>
      <c r="AS448" s="161"/>
      <c r="AT448" s="165"/>
      <c r="AU448" s="166"/>
      <c r="AV448" s="165"/>
      <c r="AW448" s="166"/>
      <c r="AX448" s="165"/>
      <c r="AY448" s="165"/>
      <c r="AZ448" s="165"/>
      <c r="BA448" s="165"/>
      <c r="BB448" s="166"/>
      <c r="BC448" s="165"/>
      <c r="BD448" s="165"/>
      <c r="BE448" s="165"/>
      <c r="BF448" s="165"/>
      <c r="BG448" s="165"/>
      <c r="BH448" s="165"/>
      <c r="BI448" s="165"/>
      <c r="BJ448" s="166"/>
      <c r="BK448" s="165"/>
      <c r="BL448" s="165"/>
      <c r="BM448" s="163"/>
      <c r="BN448" s="165"/>
      <c r="BO448" s="165"/>
      <c r="BP448" s="165"/>
      <c r="BQ448" s="167"/>
    </row>
    <row r="449" spans="1:69" ht="39.950000000000003" customHeight="1" outlineLevel="1" x14ac:dyDescent="0.3">
      <c r="A449" s="17" t="s">
        <v>557</v>
      </c>
      <c r="B449" s="14" t="s">
        <v>597</v>
      </c>
      <c r="C449" s="9" t="s">
        <v>30</v>
      </c>
      <c r="D449" s="66" t="s">
        <v>598</v>
      </c>
      <c r="E449" s="158">
        <f t="shared" si="91"/>
        <v>95.854899999999986</v>
      </c>
      <c r="F449" s="159">
        <f t="shared" si="92"/>
        <v>37.33661</v>
      </c>
      <c r="G449" s="160">
        <f t="shared" si="93"/>
        <v>58.518289999999993</v>
      </c>
      <c r="H449" s="166"/>
      <c r="I449" s="165"/>
      <c r="J449" s="160"/>
      <c r="K449" s="160"/>
      <c r="L449" s="166">
        <f>31.88405+5.45256</f>
        <v>37.33661</v>
      </c>
      <c r="M449" s="165">
        <f>49.97239+8.5459</f>
        <v>58.518289999999993</v>
      </c>
      <c r="N449" s="165"/>
      <c r="O449" s="165"/>
      <c r="P449" s="160"/>
      <c r="Q449" s="166"/>
      <c r="R449" s="165"/>
      <c r="S449" s="165"/>
      <c r="T449" s="159"/>
      <c r="U449" s="160"/>
      <c r="V449" s="165"/>
      <c r="W449" s="165"/>
      <c r="X449" s="160"/>
      <c r="Y449" s="166"/>
      <c r="Z449" s="160"/>
      <c r="AA449" s="160"/>
      <c r="AB449" s="165"/>
      <c r="AC449" s="165"/>
      <c r="AD449" s="165"/>
      <c r="AE449" s="165"/>
      <c r="AF449" s="160"/>
      <c r="AG449" s="160"/>
      <c r="AH449" s="160"/>
      <c r="AI449" s="160"/>
      <c r="AJ449" s="161"/>
      <c r="AK449" s="162"/>
      <c r="AL449" s="165"/>
      <c r="AM449" s="166"/>
      <c r="AN449" s="165"/>
      <c r="AO449" s="160"/>
      <c r="AP449" s="162"/>
      <c r="AQ449" s="161"/>
      <c r="AR449" s="162"/>
      <c r="AS449" s="161"/>
      <c r="AT449" s="165"/>
      <c r="AU449" s="166"/>
      <c r="AV449" s="165"/>
      <c r="AW449" s="166"/>
      <c r="AX449" s="165"/>
      <c r="AY449" s="165"/>
      <c r="AZ449" s="165"/>
      <c r="BA449" s="165"/>
      <c r="BB449" s="166"/>
      <c r="BC449" s="165"/>
      <c r="BD449" s="165"/>
      <c r="BE449" s="165"/>
      <c r="BF449" s="165"/>
      <c r="BG449" s="165"/>
      <c r="BH449" s="165"/>
      <c r="BI449" s="165"/>
      <c r="BJ449" s="166"/>
      <c r="BK449" s="165"/>
      <c r="BL449" s="165"/>
      <c r="BM449" s="163"/>
      <c r="BN449" s="165"/>
      <c r="BO449" s="165"/>
      <c r="BP449" s="165"/>
      <c r="BQ449" s="167"/>
    </row>
    <row r="450" spans="1:69" ht="39.950000000000003" customHeight="1" outlineLevel="1" x14ac:dyDescent="0.3">
      <c r="A450" s="17" t="s">
        <v>557</v>
      </c>
      <c r="B450" s="14" t="s">
        <v>599</v>
      </c>
      <c r="C450" s="9" t="s">
        <v>30</v>
      </c>
      <c r="D450" s="66">
        <v>190701176612</v>
      </c>
      <c r="E450" s="158">
        <f t="shared" si="91"/>
        <v>297.77905999999996</v>
      </c>
      <c r="F450" s="159">
        <f t="shared" si="92"/>
        <v>63.066000000000003</v>
      </c>
      <c r="G450" s="160">
        <f t="shared" si="93"/>
        <v>234.71305999999998</v>
      </c>
      <c r="H450" s="166"/>
      <c r="I450" s="165"/>
      <c r="J450" s="160"/>
      <c r="K450" s="160"/>
      <c r="L450" s="166">
        <v>28.172280000000001</v>
      </c>
      <c r="M450" s="165">
        <v>44.154879999999999</v>
      </c>
      <c r="N450" s="165"/>
      <c r="O450" s="165"/>
      <c r="P450" s="160"/>
      <c r="Q450" s="166"/>
      <c r="R450" s="165"/>
      <c r="S450" s="165"/>
      <c r="T450" s="159"/>
      <c r="U450" s="160"/>
      <c r="V450" s="165"/>
      <c r="W450" s="165"/>
      <c r="X450" s="160"/>
      <c r="Y450" s="166">
        <v>34.893720000000002</v>
      </c>
      <c r="Z450" s="160">
        <v>11.63124</v>
      </c>
      <c r="AA450" s="160">
        <v>178.92694</v>
      </c>
      <c r="AB450" s="165"/>
      <c r="AC450" s="165"/>
      <c r="AD450" s="165"/>
      <c r="AE450" s="165"/>
      <c r="AF450" s="160"/>
      <c r="AG450" s="160"/>
      <c r="AH450" s="160"/>
      <c r="AI450" s="160"/>
      <c r="AJ450" s="161"/>
      <c r="AK450" s="162"/>
      <c r="AL450" s="165"/>
      <c r="AM450" s="166"/>
      <c r="AN450" s="165"/>
      <c r="AO450" s="160"/>
      <c r="AP450" s="162"/>
      <c r="AQ450" s="161"/>
      <c r="AR450" s="162"/>
      <c r="AS450" s="161"/>
      <c r="AT450" s="165"/>
      <c r="AU450" s="166"/>
      <c r="AV450" s="165"/>
      <c r="AW450" s="166"/>
      <c r="AX450" s="165"/>
      <c r="AY450" s="165"/>
      <c r="AZ450" s="165"/>
      <c r="BA450" s="165"/>
      <c r="BB450" s="166"/>
      <c r="BC450" s="165"/>
      <c r="BD450" s="165"/>
      <c r="BE450" s="165"/>
      <c r="BF450" s="165"/>
      <c r="BG450" s="165"/>
      <c r="BH450" s="165"/>
      <c r="BI450" s="165"/>
      <c r="BJ450" s="166"/>
      <c r="BK450" s="165"/>
      <c r="BL450" s="165"/>
      <c r="BM450" s="163"/>
      <c r="BN450" s="165"/>
      <c r="BO450" s="165"/>
      <c r="BP450" s="165"/>
      <c r="BQ450" s="167"/>
    </row>
    <row r="451" spans="1:69" ht="39.950000000000003" customHeight="1" outlineLevel="1" x14ac:dyDescent="0.3">
      <c r="A451" s="15" t="s">
        <v>557</v>
      </c>
      <c r="B451" s="14" t="s">
        <v>608</v>
      </c>
      <c r="C451" s="9" t="s">
        <v>73</v>
      </c>
      <c r="D451" s="66" t="s">
        <v>609</v>
      </c>
      <c r="E451" s="158">
        <f t="shared" si="91"/>
        <v>1084.7556</v>
      </c>
      <c r="F451" s="159">
        <f t="shared" si="92"/>
        <v>0</v>
      </c>
      <c r="G451" s="160">
        <f t="shared" si="93"/>
        <v>1084.7556</v>
      </c>
      <c r="H451" s="166"/>
      <c r="I451" s="165"/>
      <c r="J451" s="160"/>
      <c r="K451" s="160"/>
      <c r="L451" s="166"/>
      <c r="M451" s="165"/>
      <c r="N451" s="165"/>
      <c r="O451" s="165"/>
      <c r="P451" s="160"/>
      <c r="Q451" s="166"/>
      <c r="R451" s="165"/>
      <c r="S451" s="165"/>
      <c r="T451" s="159"/>
      <c r="U451" s="160"/>
      <c r="V451" s="165"/>
      <c r="W451" s="165"/>
      <c r="X451" s="160"/>
      <c r="Y451" s="166"/>
      <c r="Z451" s="160"/>
      <c r="AA451" s="160"/>
      <c r="AB451" s="165"/>
      <c r="AC451" s="165"/>
      <c r="AD451" s="165"/>
      <c r="AE451" s="165"/>
      <c r="AF451" s="160"/>
      <c r="AG451" s="160"/>
      <c r="AH451" s="160"/>
      <c r="AI451" s="160">
        <v>1025.92464</v>
      </c>
      <c r="AJ451" s="161"/>
      <c r="AK451" s="162"/>
      <c r="AL451" s="165"/>
      <c r="AM451" s="166"/>
      <c r="AN451" s="165"/>
      <c r="AO451" s="160"/>
      <c r="AP451" s="162"/>
      <c r="AQ451" s="161"/>
      <c r="AR451" s="162"/>
      <c r="AS451" s="161"/>
      <c r="AT451" s="165">
        <f>34.9376+23.89336</f>
        <v>58.830960000000005</v>
      </c>
      <c r="AU451" s="166"/>
      <c r="AV451" s="165"/>
      <c r="AW451" s="166"/>
      <c r="AX451" s="165"/>
      <c r="AY451" s="165"/>
      <c r="AZ451" s="165"/>
      <c r="BA451" s="165"/>
      <c r="BB451" s="166"/>
      <c r="BC451" s="165"/>
      <c r="BD451" s="165"/>
      <c r="BE451" s="165"/>
      <c r="BF451" s="165"/>
      <c r="BG451" s="165"/>
      <c r="BH451" s="165"/>
      <c r="BI451" s="165"/>
      <c r="BJ451" s="166"/>
      <c r="BK451" s="165"/>
      <c r="BL451" s="165"/>
      <c r="BM451" s="163"/>
      <c r="BN451" s="165"/>
      <c r="BO451" s="165"/>
      <c r="BP451" s="165"/>
      <c r="BQ451" s="167"/>
    </row>
    <row r="452" spans="1:69" ht="39.950000000000003" customHeight="1" outlineLevel="1" x14ac:dyDescent="0.3">
      <c r="A452" s="15" t="s">
        <v>557</v>
      </c>
      <c r="B452" s="14" t="s">
        <v>610</v>
      </c>
      <c r="C452" s="9" t="s">
        <v>73</v>
      </c>
      <c r="D452" s="66" t="s">
        <v>611</v>
      </c>
      <c r="E452" s="158">
        <f t="shared" si="91"/>
        <v>10652.92598</v>
      </c>
      <c r="F452" s="159">
        <f t="shared" si="92"/>
        <v>0</v>
      </c>
      <c r="G452" s="160">
        <f t="shared" si="93"/>
        <v>10652.92598</v>
      </c>
      <c r="H452" s="166"/>
      <c r="I452" s="165"/>
      <c r="J452" s="160"/>
      <c r="K452" s="160"/>
      <c r="L452" s="166"/>
      <c r="M452" s="165"/>
      <c r="N452" s="165"/>
      <c r="O452" s="165"/>
      <c r="P452" s="160"/>
      <c r="Q452" s="166"/>
      <c r="R452" s="165"/>
      <c r="S452" s="165"/>
      <c r="T452" s="159"/>
      <c r="U452" s="160"/>
      <c r="V452" s="165"/>
      <c r="W452" s="165"/>
      <c r="X452" s="160"/>
      <c r="Y452" s="166"/>
      <c r="Z452" s="160"/>
      <c r="AA452" s="160"/>
      <c r="AB452" s="165"/>
      <c r="AC452" s="165"/>
      <c r="AD452" s="165"/>
      <c r="AE452" s="165"/>
      <c r="AF452" s="160"/>
      <c r="AG452" s="160"/>
      <c r="AH452" s="160"/>
      <c r="AI452" s="160"/>
      <c r="AJ452" s="161"/>
      <c r="AK452" s="162"/>
      <c r="AL452" s="165"/>
      <c r="AM452" s="166"/>
      <c r="AN452" s="165"/>
      <c r="AO452" s="160"/>
      <c r="AP452" s="162"/>
      <c r="AQ452" s="161"/>
      <c r="AR452" s="162"/>
      <c r="AS452" s="161"/>
      <c r="AT452" s="165">
        <f>7799.6979+2767.09694</f>
        <v>10566.79484</v>
      </c>
      <c r="AU452" s="166"/>
      <c r="AV452" s="165"/>
      <c r="AW452" s="166"/>
      <c r="AX452" s="165"/>
      <c r="AY452" s="165"/>
      <c r="AZ452" s="165"/>
      <c r="BA452" s="165"/>
      <c r="BB452" s="166"/>
      <c r="BC452" s="165"/>
      <c r="BD452" s="165"/>
      <c r="BE452" s="165">
        <v>86.131140000000002</v>
      </c>
      <c r="BF452" s="165"/>
      <c r="BG452" s="165"/>
      <c r="BH452" s="165"/>
      <c r="BI452" s="165"/>
      <c r="BJ452" s="166"/>
      <c r="BK452" s="165"/>
      <c r="BL452" s="165"/>
      <c r="BM452" s="163"/>
      <c r="BN452" s="165"/>
      <c r="BO452" s="165"/>
      <c r="BP452" s="165"/>
      <c r="BQ452" s="167"/>
    </row>
    <row r="453" spans="1:69" ht="39.950000000000003" customHeight="1" outlineLevel="1" x14ac:dyDescent="0.3">
      <c r="A453" s="15" t="s">
        <v>557</v>
      </c>
      <c r="B453" s="14" t="s">
        <v>604</v>
      </c>
      <c r="C453" s="9" t="s">
        <v>73</v>
      </c>
      <c r="D453" s="66" t="s">
        <v>605</v>
      </c>
      <c r="E453" s="158">
        <f t="shared" si="91"/>
        <v>582.25301000000002</v>
      </c>
      <c r="F453" s="159">
        <f t="shared" si="92"/>
        <v>0</v>
      </c>
      <c r="G453" s="160">
        <f t="shared" si="93"/>
        <v>582.25301000000002</v>
      </c>
      <c r="H453" s="166"/>
      <c r="I453" s="165"/>
      <c r="J453" s="160"/>
      <c r="K453" s="160"/>
      <c r="L453" s="166"/>
      <c r="M453" s="165"/>
      <c r="N453" s="165"/>
      <c r="O453" s="165"/>
      <c r="P453" s="160"/>
      <c r="Q453" s="166"/>
      <c r="R453" s="165"/>
      <c r="S453" s="165"/>
      <c r="T453" s="159"/>
      <c r="U453" s="160"/>
      <c r="V453" s="165"/>
      <c r="W453" s="165"/>
      <c r="X453" s="160"/>
      <c r="Y453" s="166"/>
      <c r="Z453" s="160"/>
      <c r="AA453" s="160"/>
      <c r="AB453" s="165"/>
      <c r="AC453" s="165"/>
      <c r="AD453" s="165"/>
      <c r="AE453" s="165"/>
      <c r="AF453" s="160"/>
      <c r="AG453" s="160"/>
      <c r="AH453" s="160"/>
      <c r="AI453" s="160"/>
      <c r="AJ453" s="161"/>
      <c r="AK453" s="162"/>
      <c r="AL453" s="165"/>
      <c r="AM453" s="166"/>
      <c r="AN453" s="165"/>
      <c r="AO453" s="160"/>
      <c r="AP453" s="162"/>
      <c r="AQ453" s="161"/>
      <c r="AR453" s="162"/>
      <c r="AS453" s="161"/>
      <c r="AT453" s="165">
        <f>117.297+339.9721+41.85737+83.12654</f>
        <v>582.25301000000002</v>
      </c>
      <c r="AU453" s="166"/>
      <c r="AV453" s="165"/>
      <c r="AW453" s="166"/>
      <c r="AX453" s="165"/>
      <c r="AY453" s="165"/>
      <c r="AZ453" s="165"/>
      <c r="BA453" s="165"/>
      <c r="BB453" s="166"/>
      <c r="BC453" s="165"/>
      <c r="BD453" s="165"/>
      <c r="BE453" s="165"/>
      <c r="BF453" s="165"/>
      <c r="BG453" s="165"/>
      <c r="BH453" s="165"/>
      <c r="BI453" s="165"/>
      <c r="BJ453" s="166"/>
      <c r="BK453" s="165"/>
      <c r="BL453" s="165"/>
      <c r="BM453" s="163"/>
      <c r="BN453" s="165"/>
      <c r="BO453" s="165"/>
      <c r="BP453" s="165"/>
      <c r="BQ453" s="167"/>
    </row>
    <row r="454" spans="1:69" ht="39.950000000000003" customHeight="1" outlineLevel="1" x14ac:dyDescent="0.3">
      <c r="A454" s="17" t="s">
        <v>557</v>
      </c>
      <c r="B454" s="12" t="s">
        <v>567</v>
      </c>
      <c r="C454" s="9" t="s">
        <v>73</v>
      </c>
      <c r="D454" s="9" t="s">
        <v>1203</v>
      </c>
      <c r="E454" s="158">
        <f t="shared" si="91"/>
        <v>3854.87</v>
      </c>
      <c r="F454" s="159">
        <f t="shared" si="92"/>
        <v>0</v>
      </c>
      <c r="G454" s="160">
        <f t="shared" si="93"/>
        <v>3854.87</v>
      </c>
      <c r="H454" s="166"/>
      <c r="I454" s="165"/>
      <c r="J454" s="160"/>
      <c r="K454" s="160"/>
      <c r="L454" s="166"/>
      <c r="M454" s="165"/>
      <c r="N454" s="165"/>
      <c r="O454" s="165"/>
      <c r="P454" s="160"/>
      <c r="Q454" s="166"/>
      <c r="R454" s="165"/>
      <c r="S454" s="165"/>
      <c r="T454" s="159"/>
      <c r="U454" s="160"/>
      <c r="V454" s="165"/>
      <c r="W454" s="165"/>
      <c r="X454" s="160"/>
      <c r="Y454" s="166"/>
      <c r="Z454" s="160"/>
      <c r="AA454" s="160"/>
      <c r="AB454" s="165"/>
      <c r="AC454" s="165"/>
      <c r="AD454" s="165"/>
      <c r="AE454" s="165"/>
      <c r="AF454" s="160"/>
      <c r="AG454" s="160"/>
      <c r="AH454" s="160"/>
      <c r="AI454" s="160"/>
      <c r="AJ454" s="161"/>
      <c r="AK454" s="162"/>
      <c r="AL454" s="165"/>
      <c r="AM454" s="166"/>
      <c r="AN454" s="165"/>
      <c r="AO454" s="160"/>
      <c r="AP454" s="162"/>
      <c r="AQ454" s="161"/>
      <c r="AR454" s="162"/>
      <c r="AS454" s="161"/>
      <c r="AT454" s="165">
        <f>2665.6172+1189.2528</f>
        <v>3854.87</v>
      </c>
      <c r="AU454" s="166"/>
      <c r="AV454" s="165"/>
      <c r="AW454" s="166"/>
      <c r="AX454" s="165"/>
      <c r="AY454" s="165"/>
      <c r="AZ454" s="165"/>
      <c r="BA454" s="165"/>
      <c r="BB454" s="166"/>
      <c r="BC454" s="165"/>
      <c r="BD454" s="165"/>
      <c r="BE454" s="165"/>
      <c r="BF454" s="165"/>
      <c r="BG454" s="165"/>
      <c r="BH454" s="165"/>
      <c r="BI454" s="165"/>
      <c r="BJ454" s="166"/>
      <c r="BK454" s="165"/>
      <c r="BL454" s="165"/>
      <c r="BM454" s="163"/>
      <c r="BN454" s="165"/>
      <c r="BO454" s="165"/>
      <c r="BP454" s="165"/>
      <c r="BQ454" s="167"/>
    </row>
    <row r="455" spans="1:69" ht="39.950000000000003" customHeight="1" outlineLevel="1" x14ac:dyDescent="0.3">
      <c r="A455" s="15" t="s">
        <v>557</v>
      </c>
      <c r="B455" s="14" t="s">
        <v>606</v>
      </c>
      <c r="C455" s="9" t="s">
        <v>73</v>
      </c>
      <c r="D455" s="66" t="s">
        <v>607</v>
      </c>
      <c r="E455" s="158">
        <f t="shared" si="91"/>
        <v>923.49335999999994</v>
      </c>
      <c r="F455" s="159">
        <f t="shared" si="92"/>
        <v>0</v>
      </c>
      <c r="G455" s="160">
        <f t="shared" si="93"/>
        <v>923.49335999999994</v>
      </c>
      <c r="H455" s="166"/>
      <c r="I455" s="165"/>
      <c r="J455" s="160"/>
      <c r="K455" s="160"/>
      <c r="L455" s="166"/>
      <c r="M455" s="165"/>
      <c r="N455" s="165"/>
      <c r="O455" s="165"/>
      <c r="P455" s="160"/>
      <c r="Q455" s="166"/>
      <c r="R455" s="165"/>
      <c r="S455" s="165"/>
      <c r="T455" s="159"/>
      <c r="U455" s="160"/>
      <c r="V455" s="165"/>
      <c r="W455" s="165"/>
      <c r="X455" s="160"/>
      <c r="Y455" s="166"/>
      <c r="Z455" s="160"/>
      <c r="AA455" s="160"/>
      <c r="AB455" s="165"/>
      <c r="AC455" s="165"/>
      <c r="AD455" s="165"/>
      <c r="AE455" s="165"/>
      <c r="AF455" s="160"/>
      <c r="AG455" s="160"/>
      <c r="AH455" s="160"/>
      <c r="AI455" s="160"/>
      <c r="AJ455" s="161"/>
      <c r="AK455" s="162"/>
      <c r="AL455" s="165"/>
      <c r="AM455" s="166"/>
      <c r="AN455" s="165"/>
      <c r="AO455" s="160"/>
      <c r="AP455" s="162"/>
      <c r="AQ455" s="161"/>
      <c r="AR455" s="162"/>
      <c r="AS455" s="161"/>
      <c r="AT455" s="165">
        <f>425.178+498.31536</f>
        <v>923.49335999999994</v>
      </c>
      <c r="AU455" s="166"/>
      <c r="AV455" s="165"/>
      <c r="AW455" s="166"/>
      <c r="AX455" s="165"/>
      <c r="AY455" s="165"/>
      <c r="AZ455" s="165"/>
      <c r="BA455" s="165"/>
      <c r="BB455" s="166"/>
      <c r="BC455" s="165"/>
      <c r="BD455" s="165"/>
      <c r="BE455" s="165"/>
      <c r="BF455" s="165"/>
      <c r="BG455" s="165"/>
      <c r="BH455" s="165"/>
      <c r="BI455" s="165"/>
      <c r="BJ455" s="166"/>
      <c r="BK455" s="165"/>
      <c r="BL455" s="165"/>
      <c r="BM455" s="163"/>
      <c r="BN455" s="165"/>
      <c r="BO455" s="165"/>
      <c r="BP455" s="165"/>
      <c r="BQ455" s="167"/>
    </row>
    <row r="456" spans="1:69" ht="39.950000000000003" customHeight="1" outlineLevel="1" x14ac:dyDescent="0.3">
      <c r="A456" s="17" t="s">
        <v>557</v>
      </c>
      <c r="B456" s="14" t="s">
        <v>558</v>
      </c>
      <c r="C456" s="9" t="s">
        <v>6</v>
      </c>
      <c r="D456" s="66" t="s">
        <v>559</v>
      </c>
      <c r="E456" s="158">
        <f t="shared" si="91"/>
        <v>103193.13292999999</v>
      </c>
      <c r="F456" s="159">
        <f t="shared" si="92"/>
        <v>25113.35396</v>
      </c>
      <c r="G456" s="160">
        <f t="shared" si="93"/>
        <v>78079.778969999999</v>
      </c>
      <c r="H456" s="166">
        <v>1977.6401599999999</v>
      </c>
      <c r="I456" s="165">
        <v>659.21337000000005</v>
      </c>
      <c r="J456" s="165">
        <v>3486</v>
      </c>
      <c r="K456" s="165"/>
      <c r="L456" s="166">
        <f>3157.16663+699.84836</f>
        <v>3857.0149900000001</v>
      </c>
      <c r="M456" s="165">
        <f>4948.27961+1096.88394</f>
        <v>6045.1635499999993</v>
      </c>
      <c r="N456" s="165"/>
      <c r="O456" s="165">
        <v>1983.6</v>
      </c>
      <c r="P456" s="160"/>
      <c r="Q456" s="166">
        <v>12555.989369999999</v>
      </c>
      <c r="R456" s="165">
        <v>4185.3297899999998</v>
      </c>
      <c r="S456" s="165"/>
      <c r="T456" s="159">
        <v>836.19313</v>
      </c>
      <c r="U456" s="160">
        <v>278.73104000000001</v>
      </c>
      <c r="V456" s="165"/>
      <c r="W456" s="165"/>
      <c r="X456" s="165"/>
      <c r="Y456" s="159">
        <v>5810.8572599999998</v>
      </c>
      <c r="Z456" s="160">
        <v>1936.9524200000001</v>
      </c>
      <c r="AA456" s="160">
        <v>27576.129540000002</v>
      </c>
      <c r="AB456" s="165"/>
      <c r="AC456" s="165"/>
      <c r="AD456" s="165"/>
      <c r="AE456" s="165"/>
      <c r="AF456" s="160"/>
      <c r="AG456" s="165"/>
      <c r="AH456" s="165"/>
      <c r="AI456" s="165">
        <v>3707.3424799999998</v>
      </c>
      <c r="AJ456" s="161"/>
      <c r="AK456" s="162"/>
      <c r="AL456" s="165"/>
      <c r="AM456" s="166"/>
      <c r="AN456" s="165"/>
      <c r="AO456" s="165"/>
      <c r="AP456" s="162"/>
      <c r="AQ456" s="161"/>
      <c r="AR456" s="162"/>
      <c r="AS456" s="161"/>
      <c r="AT456" s="165"/>
      <c r="AU456" s="166"/>
      <c r="AV456" s="165"/>
      <c r="AW456" s="159">
        <f>1.54357+12.29653+20.33917+41.47978</f>
        <v>75.659050000000008</v>
      </c>
      <c r="AX456" s="165">
        <f>1.32053+4.20186+0.46107+3.67299+6.07534+12.39006</f>
        <v>28.121850000000002</v>
      </c>
      <c r="AY456" s="165">
        <v>918.90444000000002</v>
      </c>
      <c r="AZ456" s="165"/>
      <c r="BA456" s="165">
        <v>2572.5798399999999</v>
      </c>
      <c r="BB456" s="166"/>
      <c r="BC456" s="165"/>
      <c r="BD456" s="165"/>
      <c r="BE456" s="165">
        <v>10221.970139999999</v>
      </c>
      <c r="BF456" s="165">
        <v>13495.13688</v>
      </c>
      <c r="BG456" s="165">
        <v>984.60362999999995</v>
      </c>
      <c r="BH456" s="165"/>
      <c r="BI456" s="165"/>
      <c r="BJ456" s="166"/>
      <c r="BK456" s="165"/>
      <c r="BL456" s="165"/>
      <c r="BM456" s="163"/>
      <c r="BN456" s="165"/>
      <c r="BO456" s="165"/>
      <c r="BP456" s="165"/>
      <c r="BQ456" s="167"/>
    </row>
    <row r="457" spans="1:69" ht="39.950000000000003" customHeight="1" outlineLevel="1" x14ac:dyDescent="0.3">
      <c r="A457" s="17" t="s">
        <v>557</v>
      </c>
      <c r="B457" s="14" t="s">
        <v>560</v>
      </c>
      <c r="C457" s="9" t="s">
        <v>6</v>
      </c>
      <c r="D457" s="66" t="s">
        <v>561</v>
      </c>
      <c r="E457" s="158">
        <f t="shared" si="91"/>
        <v>132292.33955999999</v>
      </c>
      <c r="F457" s="159">
        <f t="shared" si="92"/>
        <v>30300.308100000002</v>
      </c>
      <c r="G457" s="160">
        <f t="shared" si="93"/>
        <v>101992.03145999998</v>
      </c>
      <c r="H457" s="166">
        <v>10938.3855</v>
      </c>
      <c r="I457" s="165">
        <v>3646.1284999999998</v>
      </c>
      <c r="J457" s="165">
        <v>3245.76</v>
      </c>
      <c r="K457" s="165"/>
      <c r="L457" s="166">
        <f>3265.37457+861.02129</f>
        <v>4126.3958599999996</v>
      </c>
      <c r="M457" s="165">
        <f>5117.8757+1349.49297</f>
        <v>6467.3686699999998</v>
      </c>
      <c r="N457" s="165"/>
      <c r="O457" s="165">
        <v>3777.54</v>
      </c>
      <c r="P457" s="160">
        <v>188.33690000000001</v>
      </c>
      <c r="Q457" s="166">
        <v>7008.72498</v>
      </c>
      <c r="R457" s="165">
        <v>2336.2416600000001</v>
      </c>
      <c r="S457" s="165"/>
      <c r="T457" s="159">
        <v>573.93858999999998</v>
      </c>
      <c r="U457" s="160">
        <v>191.31286</v>
      </c>
      <c r="V457" s="165"/>
      <c r="W457" s="165"/>
      <c r="X457" s="165"/>
      <c r="Y457" s="166">
        <v>5261.8384800000003</v>
      </c>
      <c r="Z457" s="160">
        <v>1753.94616</v>
      </c>
      <c r="AA457" s="160">
        <v>20540.815849999999</v>
      </c>
      <c r="AB457" s="165"/>
      <c r="AC457" s="165"/>
      <c r="AD457" s="165"/>
      <c r="AE457" s="165"/>
      <c r="AF457" s="160"/>
      <c r="AG457" s="165"/>
      <c r="AH457" s="165"/>
      <c r="AI457" s="165">
        <v>1836.5959</v>
      </c>
      <c r="AJ457" s="161"/>
      <c r="AK457" s="162"/>
      <c r="AL457" s="165"/>
      <c r="AM457" s="166"/>
      <c r="AN457" s="165"/>
      <c r="AO457" s="165"/>
      <c r="AP457" s="162"/>
      <c r="AQ457" s="161"/>
      <c r="AR457" s="162"/>
      <c r="AS457" s="161"/>
      <c r="AT457" s="165"/>
      <c r="AU457" s="166"/>
      <c r="AV457" s="165"/>
      <c r="AW457" s="159">
        <f>593.32989+760.26438+1037.43042</f>
        <v>2391.0246900000002</v>
      </c>
      <c r="AX457" s="160">
        <f>34.87077+79.92257+83.56012+177.22841+227.09195+309.88182</f>
        <v>912.55564000000004</v>
      </c>
      <c r="AY457" s="160"/>
      <c r="AZ457" s="165">
        <v>146.84096</v>
      </c>
      <c r="BA457" s="165">
        <v>3207.84339</v>
      </c>
      <c r="BB457" s="166"/>
      <c r="BC457" s="165"/>
      <c r="BD457" s="165"/>
      <c r="BE457" s="165">
        <v>22304.254489999999</v>
      </c>
      <c r="BF457" s="165">
        <v>26913.876759999999</v>
      </c>
      <c r="BG457" s="165">
        <v>2000</v>
      </c>
      <c r="BH457" s="165"/>
      <c r="BI457" s="165"/>
      <c r="BJ457" s="166"/>
      <c r="BK457" s="165"/>
      <c r="BL457" s="165"/>
      <c r="BM457" s="163"/>
      <c r="BN457" s="165"/>
      <c r="BO457" s="165">
        <v>2522.6137199999998</v>
      </c>
      <c r="BP457" s="165"/>
      <c r="BQ457" s="167"/>
    </row>
    <row r="458" spans="1:69" ht="39.950000000000003" customHeight="1" outlineLevel="1" x14ac:dyDescent="0.3">
      <c r="A458" s="17" t="s">
        <v>557</v>
      </c>
      <c r="B458" s="14" t="s">
        <v>573</v>
      </c>
      <c r="C458" s="9" t="s">
        <v>6</v>
      </c>
      <c r="D458" s="66" t="s">
        <v>574</v>
      </c>
      <c r="E458" s="158">
        <f t="shared" si="91"/>
        <v>3789.19965</v>
      </c>
      <c r="F458" s="159">
        <f t="shared" si="92"/>
        <v>217.75418999999999</v>
      </c>
      <c r="G458" s="160">
        <f t="shared" si="93"/>
        <v>3571.4454599999999</v>
      </c>
      <c r="H458" s="166">
        <v>82.357460000000003</v>
      </c>
      <c r="I458" s="165">
        <v>27.452480000000001</v>
      </c>
      <c r="J458" s="160"/>
      <c r="K458" s="160"/>
      <c r="L458" s="166">
        <v>135.39672999999999</v>
      </c>
      <c r="M458" s="165">
        <v>212.20955000000001</v>
      </c>
      <c r="N458" s="165"/>
      <c r="O458" s="165"/>
      <c r="P458" s="160"/>
      <c r="Q458" s="166"/>
      <c r="R458" s="165"/>
      <c r="S458" s="165"/>
      <c r="T458" s="159"/>
      <c r="U458" s="160"/>
      <c r="V458" s="165"/>
      <c r="W458" s="165"/>
      <c r="X458" s="160"/>
      <c r="Y458" s="166"/>
      <c r="Z458" s="160"/>
      <c r="AA458" s="160"/>
      <c r="AB458" s="165"/>
      <c r="AC458" s="165"/>
      <c r="AD458" s="165"/>
      <c r="AE458" s="165"/>
      <c r="AF458" s="160"/>
      <c r="AG458" s="160"/>
      <c r="AH458" s="160"/>
      <c r="AI458" s="160"/>
      <c r="AJ458" s="161"/>
      <c r="AK458" s="162"/>
      <c r="AL458" s="165"/>
      <c r="AM458" s="166"/>
      <c r="AN458" s="165"/>
      <c r="AO458" s="160"/>
      <c r="AP458" s="162"/>
      <c r="AQ458" s="161"/>
      <c r="AR458" s="162"/>
      <c r="AS458" s="161"/>
      <c r="AT458" s="165"/>
      <c r="AU458" s="166"/>
      <c r="AV458" s="165"/>
      <c r="AW458" s="159"/>
      <c r="AX458" s="160"/>
      <c r="AY458" s="160"/>
      <c r="AZ458" s="165"/>
      <c r="BA458" s="165"/>
      <c r="BB458" s="166"/>
      <c r="BC458" s="165"/>
      <c r="BD458" s="165"/>
      <c r="BE458" s="165">
        <v>232.28343000000001</v>
      </c>
      <c r="BF458" s="165"/>
      <c r="BG458" s="165">
        <v>137</v>
      </c>
      <c r="BH458" s="165">
        <v>2962.5</v>
      </c>
      <c r="BI458" s="165"/>
      <c r="BJ458" s="166"/>
      <c r="BK458" s="165"/>
      <c r="BL458" s="165"/>
      <c r="BM458" s="163"/>
      <c r="BN458" s="165"/>
      <c r="BO458" s="165"/>
      <c r="BP458" s="165"/>
      <c r="BQ458" s="167"/>
    </row>
    <row r="459" spans="1:69" ht="39.950000000000003" customHeight="1" outlineLevel="1" x14ac:dyDescent="0.3">
      <c r="A459" s="17" t="s">
        <v>557</v>
      </c>
      <c r="B459" s="14" t="s">
        <v>569</v>
      </c>
      <c r="C459" s="9" t="s">
        <v>6</v>
      </c>
      <c r="D459" s="66" t="s">
        <v>570</v>
      </c>
      <c r="E459" s="158">
        <f t="shared" si="91"/>
        <v>1673.1166600000001</v>
      </c>
      <c r="F459" s="159">
        <f t="shared" si="92"/>
        <v>579.5865</v>
      </c>
      <c r="G459" s="160">
        <f t="shared" si="93"/>
        <v>1093.53016</v>
      </c>
      <c r="H459" s="166"/>
      <c r="I459" s="165"/>
      <c r="J459" s="160"/>
      <c r="K459" s="160"/>
      <c r="L459" s="166">
        <f>88.63093+490.95557</f>
        <v>579.5865</v>
      </c>
      <c r="M459" s="165">
        <f>138.91273+769.4828</f>
        <v>908.39553000000001</v>
      </c>
      <c r="N459" s="165"/>
      <c r="O459" s="165"/>
      <c r="P459" s="160"/>
      <c r="Q459" s="166"/>
      <c r="R459" s="165"/>
      <c r="S459" s="165"/>
      <c r="T459" s="159"/>
      <c r="U459" s="160"/>
      <c r="V459" s="165"/>
      <c r="W459" s="165"/>
      <c r="X459" s="160"/>
      <c r="Y459" s="166"/>
      <c r="Z459" s="160"/>
      <c r="AA459" s="160"/>
      <c r="AB459" s="165"/>
      <c r="AC459" s="165"/>
      <c r="AD459" s="165"/>
      <c r="AE459" s="165"/>
      <c r="AF459" s="160"/>
      <c r="AG459" s="160"/>
      <c r="AH459" s="160"/>
      <c r="AI459" s="160"/>
      <c r="AJ459" s="161"/>
      <c r="AK459" s="162"/>
      <c r="AL459" s="165"/>
      <c r="AM459" s="166"/>
      <c r="AN459" s="165"/>
      <c r="AO459" s="160"/>
      <c r="AP459" s="162"/>
      <c r="AQ459" s="161"/>
      <c r="AR459" s="162"/>
      <c r="AS459" s="161"/>
      <c r="AT459" s="165"/>
      <c r="AU459" s="166"/>
      <c r="AV459" s="165"/>
      <c r="AW459" s="159"/>
      <c r="AX459" s="160"/>
      <c r="AY459" s="160"/>
      <c r="AZ459" s="165"/>
      <c r="BA459" s="165">
        <v>18.608149999999998</v>
      </c>
      <c r="BB459" s="166"/>
      <c r="BC459" s="165"/>
      <c r="BD459" s="165"/>
      <c r="BE459" s="165">
        <v>166.52647999999999</v>
      </c>
      <c r="BF459" s="165"/>
      <c r="BG459" s="165"/>
      <c r="BH459" s="165"/>
      <c r="BI459" s="165"/>
      <c r="BJ459" s="166"/>
      <c r="BK459" s="165"/>
      <c r="BL459" s="165"/>
      <c r="BM459" s="163"/>
      <c r="BN459" s="165"/>
      <c r="BO459" s="165"/>
      <c r="BP459" s="165"/>
      <c r="BQ459" s="167"/>
    </row>
    <row r="460" spans="1:69" ht="39.950000000000003" customHeight="1" outlineLevel="1" x14ac:dyDescent="0.3">
      <c r="A460" s="15" t="s">
        <v>557</v>
      </c>
      <c r="B460" s="14" t="s">
        <v>571</v>
      </c>
      <c r="C460" s="9" t="s">
        <v>6</v>
      </c>
      <c r="D460" s="66" t="s">
        <v>572</v>
      </c>
      <c r="E460" s="158">
        <f t="shared" si="91"/>
        <v>8133.7130499999994</v>
      </c>
      <c r="F460" s="159">
        <f t="shared" si="92"/>
        <v>1840.46453</v>
      </c>
      <c r="G460" s="160">
        <f t="shared" si="93"/>
        <v>6293.2485199999992</v>
      </c>
      <c r="H460" s="166"/>
      <c r="I460" s="165"/>
      <c r="J460" s="160"/>
      <c r="K460" s="160"/>
      <c r="L460" s="166">
        <v>140.14156</v>
      </c>
      <c r="M460" s="165">
        <v>219.64619999999999</v>
      </c>
      <c r="N460" s="165"/>
      <c r="O460" s="165"/>
      <c r="P460" s="160"/>
      <c r="Q460" s="166">
        <v>1700.3229699999999</v>
      </c>
      <c r="R460" s="165">
        <v>566.77431999999999</v>
      </c>
      <c r="S460" s="165"/>
      <c r="T460" s="159"/>
      <c r="U460" s="160"/>
      <c r="V460" s="165"/>
      <c r="W460" s="165"/>
      <c r="X460" s="160">
        <v>1000</v>
      </c>
      <c r="Y460" s="166"/>
      <c r="Z460" s="160"/>
      <c r="AA460" s="160"/>
      <c r="AB460" s="165"/>
      <c r="AC460" s="165"/>
      <c r="AD460" s="165"/>
      <c r="AE460" s="165"/>
      <c r="AF460" s="160"/>
      <c r="AG460" s="160"/>
      <c r="AH460" s="160"/>
      <c r="AI460" s="160"/>
      <c r="AJ460" s="161"/>
      <c r="AK460" s="162"/>
      <c r="AL460" s="165"/>
      <c r="AM460" s="166"/>
      <c r="AN460" s="165"/>
      <c r="AO460" s="160"/>
      <c r="AP460" s="162"/>
      <c r="AQ460" s="161"/>
      <c r="AR460" s="162"/>
      <c r="AS460" s="161"/>
      <c r="AT460" s="165"/>
      <c r="AU460" s="166"/>
      <c r="AV460" s="165"/>
      <c r="AW460" s="166"/>
      <c r="AX460" s="165"/>
      <c r="AY460" s="165"/>
      <c r="AZ460" s="165"/>
      <c r="BA460" s="165"/>
      <c r="BB460" s="166"/>
      <c r="BC460" s="165"/>
      <c r="BD460" s="165">
        <v>3847.5</v>
      </c>
      <c r="BE460" s="165"/>
      <c r="BF460" s="165"/>
      <c r="BG460" s="165"/>
      <c r="BH460" s="165"/>
      <c r="BI460" s="165"/>
      <c r="BJ460" s="166"/>
      <c r="BK460" s="165"/>
      <c r="BL460" s="165"/>
      <c r="BM460" s="163"/>
      <c r="BN460" s="165"/>
      <c r="BO460" s="165">
        <v>659.32799999999997</v>
      </c>
      <c r="BP460" s="165"/>
      <c r="BQ460" s="167"/>
    </row>
    <row r="461" spans="1:69" ht="39.950000000000003" customHeight="1" outlineLevel="1" x14ac:dyDescent="0.3">
      <c r="A461" s="17" t="s">
        <v>557</v>
      </c>
      <c r="B461" s="12" t="s">
        <v>1451</v>
      </c>
      <c r="C461" s="9" t="s">
        <v>6</v>
      </c>
      <c r="D461" s="66" t="s">
        <v>568</v>
      </c>
      <c r="E461" s="158">
        <f t="shared" si="91"/>
        <v>662.48827000000006</v>
      </c>
      <c r="F461" s="159">
        <f t="shared" si="92"/>
        <v>270.40451999999999</v>
      </c>
      <c r="G461" s="160">
        <f t="shared" si="93"/>
        <v>392.08375000000001</v>
      </c>
      <c r="H461" s="166"/>
      <c r="I461" s="165"/>
      <c r="J461" s="160"/>
      <c r="K461" s="160"/>
      <c r="L461" s="166">
        <v>240.67977999999999</v>
      </c>
      <c r="M461" s="165">
        <v>377.22140999999999</v>
      </c>
      <c r="N461" s="165"/>
      <c r="O461" s="165"/>
      <c r="P461" s="160"/>
      <c r="Q461" s="166"/>
      <c r="R461" s="165"/>
      <c r="S461" s="165"/>
      <c r="T461" s="159"/>
      <c r="U461" s="160"/>
      <c r="V461" s="165"/>
      <c r="W461" s="165"/>
      <c r="X461" s="160"/>
      <c r="Y461" s="166"/>
      <c r="Z461" s="160"/>
      <c r="AA461" s="160"/>
      <c r="AB461" s="165"/>
      <c r="AC461" s="165"/>
      <c r="AD461" s="165"/>
      <c r="AE461" s="165"/>
      <c r="AF461" s="160"/>
      <c r="AG461" s="160"/>
      <c r="AH461" s="160"/>
      <c r="AI461" s="160"/>
      <c r="AJ461" s="161"/>
      <c r="AK461" s="162"/>
      <c r="AL461" s="165"/>
      <c r="AM461" s="166"/>
      <c r="AN461" s="165"/>
      <c r="AO461" s="160"/>
      <c r="AP461" s="162"/>
      <c r="AQ461" s="161"/>
      <c r="AR461" s="162"/>
      <c r="AS461" s="161"/>
      <c r="AT461" s="165"/>
      <c r="AU461" s="166"/>
      <c r="AV461" s="165"/>
      <c r="AW461" s="166">
        <v>29.724740000000001</v>
      </c>
      <c r="AX461" s="165">
        <f>5.98352+8.87882</f>
        <v>14.86234</v>
      </c>
      <c r="AY461" s="165"/>
      <c r="AZ461" s="165"/>
      <c r="BA461" s="165"/>
      <c r="BB461" s="166"/>
      <c r="BC461" s="165"/>
      <c r="BD461" s="165"/>
      <c r="BE461" s="165"/>
      <c r="BF461" s="165"/>
      <c r="BG461" s="165"/>
      <c r="BH461" s="165"/>
      <c r="BI461" s="165"/>
      <c r="BJ461" s="166"/>
      <c r="BK461" s="165"/>
      <c r="BL461" s="165"/>
      <c r="BM461" s="163"/>
      <c r="BN461" s="165"/>
      <c r="BO461" s="165"/>
      <c r="BP461" s="165"/>
      <c r="BQ461" s="167"/>
    </row>
    <row r="462" spans="1:69" ht="39.950000000000003" customHeight="1" outlineLevel="1" x14ac:dyDescent="0.3">
      <c r="A462" s="17" t="s">
        <v>557</v>
      </c>
      <c r="B462" s="12" t="s">
        <v>562</v>
      </c>
      <c r="C462" s="9" t="s">
        <v>6</v>
      </c>
      <c r="D462" s="66" t="s">
        <v>563</v>
      </c>
      <c r="E462" s="158">
        <f t="shared" si="91"/>
        <v>3453.93183</v>
      </c>
      <c r="F462" s="159">
        <f t="shared" si="92"/>
        <v>125.09894</v>
      </c>
      <c r="G462" s="160">
        <f t="shared" si="93"/>
        <v>3328.8328900000001</v>
      </c>
      <c r="H462" s="166"/>
      <c r="I462" s="165"/>
      <c r="J462" s="160"/>
      <c r="K462" s="160"/>
      <c r="L462" s="166">
        <f>21.08108+104.01786</f>
        <v>125.09894</v>
      </c>
      <c r="M462" s="165">
        <f>33.04072+163.02892</f>
        <v>196.06963999999999</v>
      </c>
      <c r="N462" s="165"/>
      <c r="O462" s="165"/>
      <c r="P462" s="160"/>
      <c r="Q462" s="166"/>
      <c r="R462" s="165"/>
      <c r="S462" s="165"/>
      <c r="T462" s="159"/>
      <c r="U462" s="160"/>
      <c r="V462" s="165"/>
      <c r="W462" s="165"/>
      <c r="X462" s="160"/>
      <c r="Y462" s="166"/>
      <c r="Z462" s="160"/>
      <c r="AA462" s="160"/>
      <c r="AB462" s="165"/>
      <c r="AC462" s="165"/>
      <c r="AD462" s="165"/>
      <c r="AE462" s="165"/>
      <c r="AF462" s="160"/>
      <c r="AG462" s="160"/>
      <c r="AH462" s="160"/>
      <c r="AI462" s="160"/>
      <c r="AJ462" s="161"/>
      <c r="AK462" s="162"/>
      <c r="AL462" s="165"/>
      <c r="AM462" s="166"/>
      <c r="AN462" s="165"/>
      <c r="AO462" s="160"/>
      <c r="AP462" s="162"/>
      <c r="AQ462" s="161"/>
      <c r="AR462" s="162"/>
      <c r="AS462" s="161"/>
      <c r="AT462" s="165"/>
      <c r="AU462" s="166"/>
      <c r="AV462" s="165"/>
      <c r="AW462" s="166"/>
      <c r="AX462" s="165"/>
      <c r="AY462" s="165"/>
      <c r="AZ462" s="165"/>
      <c r="BA462" s="165"/>
      <c r="BB462" s="166"/>
      <c r="BC462" s="165"/>
      <c r="BD462" s="165"/>
      <c r="BE462" s="165">
        <v>132.76325</v>
      </c>
      <c r="BF462" s="165"/>
      <c r="BG462" s="165"/>
      <c r="BH462" s="165">
        <v>3000</v>
      </c>
      <c r="BI462" s="165"/>
      <c r="BJ462" s="166"/>
      <c r="BK462" s="165"/>
      <c r="BL462" s="165"/>
      <c r="BM462" s="163"/>
      <c r="BN462" s="165"/>
      <c r="BO462" s="165"/>
      <c r="BP462" s="165"/>
      <c r="BQ462" s="167"/>
    </row>
    <row r="463" spans="1:69" ht="39.950000000000003" customHeight="1" outlineLevel="1" x14ac:dyDescent="0.3">
      <c r="A463" s="17" t="s">
        <v>557</v>
      </c>
      <c r="B463" s="12" t="s">
        <v>564</v>
      </c>
      <c r="C463" s="9" t="s">
        <v>6</v>
      </c>
      <c r="D463" s="66" t="s">
        <v>565</v>
      </c>
      <c r="E463" s="158">
        <f t="shared" si="91"/>
        <v>2751.9696899999999</v>
      </c>
      <c r="F463" s="159">
        <f t="shared" si="92"/>
        <v>80.212040000000002</v>
      </c>
      <c r="G463" s="160">
        <f t="shared" si="93"/>
        <v>2671.75765</v>
      </c>
      <c r="H463" s="166"/>
      <c r="I463" s="165"/>
      <c r="J463" s="160"/>
      <c r="K463" s="160"/>
      <c r="L463" s="166">
        <f>38.63592+41.57612</f>
        <v>80.212040000000002</v>
      </c>
      <c r="M463" s="165">
        <f>65.16294+60.55471</f>
        <v>125.71765000000001</v>
      </c>
      <c r="N463" s="165"/>
      <c r="O463" s="165"/>
      <c r="P463" s="160"/>
      <c r="Q463" s="166"/>
      <c r="R463" s="165"/>
      <c r="S463" s="165"/>
      <c r="T463" s="159"/>
      <c r="U463" s="160"/>
      <c r="V463" s="165"/>
      <c r="W463" s="165"/>
      <c r="X463" s="160"/>
      <c r="Y463" s="166"/>
      <c r="Z463" s="160"/>
      <c r="AA463" s="160"/>
      <c r="AB463" s="165"/>
      <c r="AC463" s="165"/>
      <c r="AD463" s="165"/>
      <c r="AE463" s="165"/>
      <c r="AF463" s="160"/>
      <c r="AG463" s="160"/>
      <c r="AH463" s="160"/>
      <c r="AI463" s="160"/>
      <c r="AJ463" s="161"/>
      <c r="AK463" s="162"/>
      <c r="AL463" s="165"/>
      <c r="AM463" s="166"/>
      <c r="AN463" s="165"/>
      <c r="AO463" s="160"/>
      <c r="AP463" s="162"/>
      <c r="AQ463" s="161"/>
      <c r="AR463" s="162"/>
      <c r="AS463" s="161"/>
      <c r="AT463" s="165"/>
      <c r="AU463" s="166"/>
      <c r="AV463" s="165"/>
      <c r="AW463" s="166"/>
      <c r="AX463" s="165"/>
      <c r="AY463" s="165"/>
      <c r="AZ463" s="165"/>
      <c r="BA463" s="165"/>
      <c r="BB463" s="166"/>
      <c r="BC463" s="165"/>
      <c r="BD463" s="165"/>
      <c r="BE463" s="165"/>
      <c r="BF463" s="165"/>
      <c r="BG463" s="165"/>
      <c r="BH463" s="165">
        <v>2546.04</v>
      </c>
      <c r="BI463" s="165"/>
      <c r="BJ463" s="166"/>
      <c r="BK463" s="165"/>
      <c r="BL463" s="165"/>
      <c r="BM463" s="163"/>
      <c r="BN463" s="165"/>
      <c r="BO463" s="165"/>
      <c r="BP463" s="165"/>
      <c r="BQ463" s="167"/>
    </row>
    <row r="464" spans="1:69" ht="39.950000000000003" customHeight="1" outlineLevel="1" x14ac:dyDescent="0.3">
      <c r="A464" s="17" t="s">
        <v>557</v>
      </c>
      <c r="B464" s="12" t="s">
        <v>349</v>
      </c>
      <c r="C464" s="9" t="s">
        <v>6</v>
      </c>
      <c r="D464" s="66" t="s">
        <v>566</v>
      </c>
      <c r="E464" s="158">
        <f t="shared" si="91"/>
        <v>143.80134000000001</v>
      </c>
      <c r="F464" s="159">
        <f t="shared" si="92"/>
        <v>43.80424</v>
      </c>
      <c r="G464" s="160">
        <f t="shared" si="93"/>
        <v>99.997100000000003</v>
      </c>
      <c r="H464" s="166"/>
      <c r="I464" s="165"/>
      <c r="J464" s="160"/>
      <c r="K464" s="160"/>
      <c r="L464" s="166">
        <f>13.03794+30.7663</f>
        <v>43.80424</v>
      </c>
      <c r="M464" s="165">
        <f>20.43457+48.22054</f>
        <v>68.655110000000008</v>
      </c>
      <c r="N464" s="165"/>
      <c r="O464" s="165"/>
      <c r="P464" s="160"/>
      <c r="Q464" s="166"/>
      <c r="R464" s="165"/>
      <c r="S464" s="165"/>
      <c r="T464" s="159"/>
      <c r="U464" s="160"/>
      <c r="V464" s="165"/>
      <c r="W464" s="165"/>
      <c r="X464" s="160"/>
      <c r="Y464" s="166"/>
      <c r="Z464" s="160"/>
      <c r="AA464" s="160"/>
      <c r="AB464" s="165"/>
      <c r="AC464" s="165"/>
      <c r="AD464" s="165"/>
      <c r="AE464" s="165"/>
      <c r="AF464" s="160"/>
      <c r="AG464" s="160"/>
      <c r="AH464" s="160"/>
      <c r="AI464" s="160"/>
      <c r="AJ464" s="161"/>
      <c r="AK464" s="162"/>
      <c r="AL464" s="165"/>
      <c r="AM464" s="166"/>
      <c r="AN464" s="165"/>
      <c r="AO464" s="160"/>
      <c r="AP464" s="162"/>
      <c r="AQ464" s="161"/>
      <c r="AR464" s="162"/>
      <c r="AS464" s="161"/>
      <c r="AT464" s="165"/>
      <c r="AU464" s="166"/>
      <c r="AV464" s="165"/>
      <c r="AW464" s="166"/>
      <c r="AX464" s="165"/>
      <c r="AY464" s="165"/>
      <c r="AZ464" s="165"/>
      <c r="BA464" s="165"/>
      <c r="BB464" s="166"/>
      <c r="BC464" s="165"/>
      <c r="BD464" s="165"/>
      <c r="BE464" s="165">
        <v>31.341989999999999</v>
      </c>
      <c r="BF464" s="165"/>
      <c r="BG464" s="165"/>
      <c r="BH464" s="165"/>
      <c r="BI464" s="165"/>
      <c r="BJ464" s="166"/>
      <c r="BK464" s="165"/>
      <c r="BL464" s="165"/>
      <c r="BM464" s="163"/>
      <c r="BN464" s="165"/>
      <c r="BO464" s="165"/>
      <c r="BP464" s="165"/>
      <c r="BQ464" s="167"/>
    </row>
    <row r="465" spans="1:270" s="34" customFormat="1" ht="39.950000000000003" customHeight="1" x14ac:dyDescent="0.3">
      <c r="A465" s="118" t="s">
        <v>612</v>
      </c>
      <c r="B465" s="120"/>
      <c r="C465" s="116" t="s">
        <v>80</v>
      </c>
      <c r="D465" s="117"/>
      <c r="E465" s="171">
        <f t="shared" ref="E465:AI465" si="94">SUBTOTAL(9,E425:E464)</f>
        <v>282505.37625999999</v>
      </c>
      <c r="F465" s="171">
        <f t="shared" si="94"/>
        <v>59595.642119999997</v>
      </c>
      <c r="G465" s="171">
        <f t="shared" si="94"/>
        <v>222909.73413999996</v>
      </c>
      <c r="H465" s="171">
        <f t="shared" si="94"/>
        <v>13097.038839999999</v>
      </c>
      <c r="I465" s="171">
        <f t="shared" si="94"/>
        <v>4365.6795999999995</v>
      </c>
      <c r="J465" s="171">
        <f t="shared" si="94"/>
        <v>6965.76</v>
      </c>
      <c r="K465" s="171">
        <f t="shared" si="94"/>
        <v>0</v>
      </c>
      <c r="L465" s="171">
        <f t="shared" si="94"/>
        <v>10219.436299999999</v>
      </c>
      <c r="M465" s="171">
        <f t="shared" si="94"/>
        <v>16017.092019999998</v>
      </c>
      <c r="N465" s="171">
        <f t="shared" si="94"/>
        <v>0</v>
      </c>
      <c r="O465" s="171">
        <f>SUBTOTAL(9,O425:O464)</f>
        <v>6051.1399999999994</v>
      </c>
      <c r="P465" s="171">
        <f>SUBTOTAL(9,P425:P464)</f>
        <v>188.33690000000001</v>
      </c>
      <c r="Q465" s="171">
        <f t="shared" si="94"/>
        <v>21265.037319999999</v>
      </c>
      <c r="R465" s="171">
        <f t="shared" si="94"/>
        <v>7088.3457699999999</v>
      </c>
      <c r="S465" s="171">
        <f t="shared" si="94"/>
        <v>151.76499999999999</v>
      </c>
      <c r="T465" s="171">
        <f>SUBTOTAL(9,T425:T464)</f>
        <v>1410.1317199999999</v>
      </c>
      <c r="U465" s="171">
        <f>SUBTOTAL(9,U425:U464)</f>
        <v>470.04390000000001</v>
      </c>
      <c r="V465" s="171">
        <f t="shared" si="94"/>
        <v>0</v>
      </c>
      <c r="W465" s="171">
        <f t="shared" si="94"/>
        <v>1256.3200000000002</v>
      </c>
      <c r="X465" s="171">
        <f>SUBTOTAL(9,X425:X464)</f>
        <v>1000</v>
      </c>
      <c r="Y465" s="171">
        <f t="shared" si="94"/>
        <v>11107.589459999999</v>
      </c>
      <c r="Z465" s="171">
        <f t="shared" si="94"/>
        <v>3702.5298199999997</v>
      </c>
      <c r="AA465" s="171">
        <f t="shared" si="94"/>
        <v>48295.872329999998</v>
      </c>
      <c r="AB465" s="171">
        <f t="shared" si="94"/>
        <v>0</v>
      </c>
      <c r="AC465" s="171">
        <f t="shared" si="94"/>
        <v>0</v>
      </c>
      <c r="AD465" s="171">
        <f>SUBTOTAL(9,AD425:AD464)</f>
        <v>0</v>
      </c>
      <c r="AE465" s="171">
        <f t="shared" si="94"/>
        <v>0</v>
      </c>
      <c r="AF465" s="171">
        <f t="shared" si="94"/>
        <v>0</v>
      </c>
      <c r="AG465" s="171">
        <f t="shared" si="94"/>
        <v>0</v>
      </c>
      <c r="AH465" s="171">
        <f t="shared" si="94"/>
        <v>0</v>
      </c>
      <c r="AI465" s="171">
        <f t="shared" si="94"/>
        <v>6569.8630199999998</v>
      </c>
      <c r="AJ465" s="171">
        <f t="shared" ref="AJ465:BQ465" si="95">SUBTOTAL(9,AJ425:AJ464)</f>
        <v>2592.5</v>
      </c>
      <c r="AK465" s="171">
        <f t="shared" si="95"/>
        <v>0</v>
      </c>
      <c r="AL465" s="171">
        <f t="shared" si="95"/>
        <v>0</v>
      </c>
      <c r="AM465" s="171">
        <f>SUBTOTAL(9,AM425:AM464)</f>
        <v>0</v>
      </c>
      <c r="AN465" s="171">
        <f>SUBTOTAL(9,AN425:AN464)</f>
        <v>0</v>
      </c>
      <c r="AO465" s="171">
        <f>SUBTOTAL(9,AO425:AO464)</f>
        <v>0</v>
      </c>
      <c r="AP465" s="171">
        <f t="shared" si="95"/>
        <v>0</v>
      </c>
      <c r="AQ465" s="171">
        <f t="shared" si="95"/>
        <v>0</v>
      </c>
      <c r="AR465" s="171">
        <f t="shared" si="95"/>
        <v>0</v>
      </c>
      <c r="AS465" s="171">
        <f t="shared" si="95"/>
        <v>0</v>
      </c>
      <c r="AT465" s="171">
        <f>SUBTOTAL(9,AT425:AT464)</f>
        <v>15986.242170000001</v>
      </c>
      <c r="AU465" s="171">
        <f t="shared" si="95"/>
        <v>0</v>
      </c>
      <c r="AV465" s="171">
        <f t="shared" si="95"/>
        <v>0</v>
      </c>
      <c r="AW465" s="171">
        <f t="shared" si="95"/>
        <v>2496.4084800000005</v>
      </c>
      <c r="AX465" s="171">
        <f t="shared" si="95"/>
        <v>955.53983000000005</v>
      </c>
      <c r="AY465" s="171">
        <f t="shared" si="95"/>
        <v>918.90444000000002</v>
      </c>
      <c r="AZ465" s="171">
        <f t="shared" si="95"/>
        <v>146.84096</v>
      </c>
      <c r="BA465" s="171">
        <f t="shared" si="95"/>
        <v>5799.0313800000004</v>
      </c>
      <c r="BB465" s="171">
        <f t="shared" si="95"/>
        <v>0</v>
      </c>
      <c r="BC465" s="171">
        <f t="shared" si="95"/>
        <v>0</v>
      </c>
      <c r="BD465" s="171">
        <f t="shared" si="95"/>
        <v>3847.5</v>
      </c>
      <c r="BE465" s="171">
        <f t="shared" si="95"/>
        <v>33346.055110000008</v>
      </c>
      <c r="BF465" s="171">
        <f t="shared" si="95"/>
        <v>41259.369869999995</v>
      </c>
      <c r="BG465" s="171">
        <f t="shared" si="95"/>
        <v>3121.6036300000001</v>
      </c>
      <c r="BH465" s="171">
        <f t="shared" si="95"/>
        <v>9631.4566699999996</v>
      </c>
      <c r="BI465" s="171">
        <f t="shared" si="95"/>
        <v>0</v>
      </c>
      <c r="BJ465" s="171">
        <f t="shared" si="95"/>
        <v>0</v>
      </c>
      <c r="BK465" s="171">
        <f t="shared" si="95"/>
        <v>0</v>
      </c>
      <c r="BL465" s="171">
        <f t="shared" si="95"/>
        <v>0</v>
      </c>
      <c r="BM465" s="172">
        <f>SUBTOTAL(9,BM425:BM464)</f>
        <v>0</v>
      </c>
      <c r="BN465" s="171">
        <f t="shared" si="95"/>
        <v>0</v>
      </c>
      <c r="BO465" s="171">
        <f t="shared" si="95"/>
        <v>3181.9417199999998</v>
      </c>
      <c r="BP465" s="171">
        <f t="shared" si="95"/>
        <v>0</v>
      </c>
      <c r="BQ465" s="172">
        <f t="shared" si="95"/>
        <v>0</v>
      </c>
      <c r="BR465" s="40"/>
      <c r="BS465" s="40"/>
      <c r="BT465" s="40"/>
      <c r="BU465" s="40"/>
      <c r="BV465" s="40"/>
      <c r="BW465" s="40"/>
      <c r="BX465" s="40"/>
      <c r="BY465" s="40"/>
      <c r="BZ465" s="40"/>
      <c r="CA465" s="40"/>
      <c r="CB465" s="40"/>
      <c r="CC465" s="40"/>
      <c r="CD465" s="40"/>
      <c r="CE465" s="40"/>
      <c r="CF465" s="40"/>
      <c r="CG465" s="40"/>
      <c r="CH465" s="40"/>
      <c r="CI465" s="40"/>
      <c r="CJ465" s="40"/>
      <c r="CK465" s="40"/>
      <c r="CL465" s="40"/>
      <c r="CM465" s="40"/>
      <c r="CN465" s="40"/>
      <c r="CO465" s="40"/>
      <c r="CP465" s="40"/>
      <c r="CQ465" s="40"/>
      <c r="CR465" s="40"/>
      <c r="CS465" s="40"/>
      <c r="CT465" s="40"/>
      <c r="CU465" s="40"/>
      <c r="CV465" s="40"/>
      <c r="CW465" s="40"/>
      <c r="CX465" s="40"/>
      <c r="CY465" s="40"/>
      <c r="CZ465" s="40"/>
      <c r="DA465" s="40"/>
      <c r="DB465" s="40"/>
      <c r="DC465" s="40"/>
      <c r="DD465" s="40"/>
      <c r="DE465" s="40"/>
      <c r="DF465" s="40"/>
      <c r="DG465" s="40"/>
      <c r="DH465" s="40"/>
      <c r="DI465" s="40"/>
      <c r="DJ465" s="40"/>
      <c r="DK465" s="40"/>
      <c r="DL465" s="40"/>
      <c r="DM465" s="40"/>
      <c r="DN465" s="40"/>
      <c r="DO465" s="40"/>
      <c r="DP465" s="40"/>
      <c r="DQ465" s="40"/>
      <c r="DR465" s="40"/>
      <c r="DS465" s="40"/>
      <c r="DT465" s="40"/>
      <c r="DU465" s="40"/>
      <c r="DV465" s="40"/>
      <c r="DW465" s="40"/>
      <c r="DX465" s="40"/>
      <c r="DY465" s="40"/>
      <c r="DZ465" s="40"/>
      <c r="EA465" s="40"/>
      <c r="EB465" s="40"/>
      <c r="EC465" s="40"/>
      <c r="ED465" s="40"/>
      <c r="EE465" s="40"/>
      <c r="EF465" s="40"/>
      <c r="EG465" s="40"/>
      <c r="EH465" s="40"/>
      <c r="EI465" s="40"/>
      <c r="EJ465" s="40"/>
      <c r="EK465" s="40"/>
      <c r="EL465" s="40"/>
      <c r="EM465" s="40"/>
      <c r="EN465" s="40"/>
      <c r="EO465" s="40"/>
      <c r="EP465" s="40"/>
      <c r="EQ465" s="40"/>
      <c r="ER465" s="40"/>
      <c r="ES465" s="40"/>
      <c r="ET465" s="40"/>
      <c r="EU465" s="40"/>
      <c r="EV465" s="40"/>
      <c r="EW465" s="40"/>
      <c r="EX465" s="40"/>
      <c r="EY465" s="40"/>
      <c r="EZ465" s="40"/>
      <c r="FA465" s="40"/>
      <c r="FB465" s="40"/>
      <c r="FC465" s="40"/>
      <c r="FD465" s="40"/>
      <c r="FE465" s="40"/>
      <c r="FF465" s="40"/>
      <c r="FG465" s="40"/>
      <c r="FH465" s="40"/>
      <c r="FI465" s="40"/>
      <c r="FJ465" s="40"/>
      <c r="FK465" s="40"/>
      <c r="FL465" s="40"/>
      <c r="FM465" s="40"/>
      <c r="FN465" s="40"/>
      <c r="FO465" s="40"/>
      <c r="FP465" s="40"/>
      <c r="FQ465" s="40"/>
      <c r="FR465" s="40"/>
      <c r="FS465" s="40"/>
      <c r="FT465" s="40"/>
      <c r="FU465" s="40"/>
      <c r="FV465" s="40"/>
      <c r="FW465" s="40"/>
      <c r="FX465" s="40"/>
      <c r="FY465" s="40"/>
      <c r="FZ465" s="40"/>
      <c r="GA465" s="40"/>
      <c r="GB465" s="40"/>
      <c r="GC465" s="40"/>
      <c r="GD465" s="40"/>
      <c r="GE465" s="40"/>
      <c r="GF465" s="40"/>
      <c r="GG465" s="40"/>
      <c r="GH465" s="40"/>
      <c r="GI465" s="40"/>
      <c r="GJ465" s="40"/>
      <c r="GK465" s="40"/>
      <c r="GL465" s="40"/>
      <c r="GM465" s="40"/>
      <c r="GN465" s="40"/>
      <c r="GO465" s="40"/>
      <c r="GP465" s="40"/>
      <c r="GQ465" s="40"/>
      <c r="GR465" s="40"/>
      <c r="GS465" s="40"/>
      <c r="GT465" s="40"/>
      <c r="GU465" s="40"/>
      <c r="GV465" s="40"/>
      <c r="GW465" s="40"/>
      <c r="GX465" s="40"/>
      <c r="GY465" s="40"/>
      <c r="GZ465" s="40"/>
      <c r="HA465" s="40"/>
      <c r="HB465" s="40"/>
      <c r="HC465" s="40"/>
      <c r="HD465" s="40"/>
      <c r="HE465" s="40"/>
      <c r="HF465" s="40"/>
      <c r="HG465" s="40"/>
      <c r="HH465" s="40"/>
      <c r="HI465" s="40"/>
      <c r="HJ465" s="40"/>
      <c r="HK465" s="40"/>
      <c r="HL465" s="40"/>
      <c r="HM465" s="40"/>
      <c r="HN465" s="40"/>
      <c r="HO465" s="40"/>
      <c r="HP465" s="40"/>
      <c r="HQ465" s="40"/>
      <c r="HR465" s="40"/>
      <c r="HS465" s="40"/>
      <c r="HT465" s="40"/>
      <c r="HU465" s="40"/>
      <c r="HV465" s="40"/>
      <c r="HW465" s="40"/>
      <c r="HX465" s="40"/>
      <c r="HY465" s="40"/>
      <c r="HZ465" s="40"/>
      <c r="IA465" s="40"/>
      <c r="IB465" s="40"/>
      <c r="IC465" s="40"/>
      <c r="ID465" s="40"/>
      <c r="IE465" s="40"/>
      <c r="IF465" s="40"/>
      <c r="IG465" s="40"/>
      <c r="IH465" s="40"/>
      <c r="II465" s="40"/>
      <c r="IJ465" s="40"/>
      <c r="IK465" s="40"/>
      <c r="IL465" s="40"/>
      <c r="IM465" s="40"/>
      <c r="IN465" s="40"/>
      <c r="IO465" s="40"/>
      <c r="IP465" s="40"/>
      <c r="IQ465" s="40"/>
      <c r="IR465" s="40"/>
      <c r="IS465" s="40"/>
      <c r="IT465" s="40"/>
      <c r="IU465" s="40"/>
      <c r="IV465" s="40"/>
      <c r="IW465" s="40"/>
      <c r="IX465" s="40"/>
      <c r="IY465" s="40"/>
      <c r="IZ465" s="40"/>
      <c r="JA465" s="40"/>
      <c r="JB465" s="40"/>
      <c r="JC465" s="40"/>
      <c r="JD465" s="40"/>
      <c r="JE465" s="40"/>
      <c r="JF465" s="40"/>
      <c r="JG465" s="40"/>
      <c r="JH465" s="40"/>
      <c r="JI465" s="40"/>
      <c r="JJ465" s="40"/>
    </row>
    <row r="466" spans="1:270" ht="39.950000000000003" customHeight="1" outlineLevel="1" x14ac:dyDescent="0.3">
      <c r="A466" s="15" t="s">
        <v>613</v>
      </c>
      <c r="B466" s="12" t="s">
        <v>1287</v>
      </c>
      <c r="C466" s="9" t="s">
        <v>30</v>
      </c>
      <c r="D466" s="23" t="s">
        <v>1210</v>
      </c>
      <c r="E466" s="158">
        <f t="shared" ref="E466:E484" si="96">F466+G466</f>
        <v>318.37488000000002</v>
      </c>
      <c r="F466" s="159">
        <f t="shared" ref="F466:F484" si="97">H466+L466+Q466+Y466+T466+AK466+AP466+AM466+AR466+AU466+AW466+BB466+BJ466</f>
        <v>88.507750000000001</v>
      </c>
      <c r="G466" s="160">
        <f t="shared" ref="G466:G484" si="98">I466+J466+K466+M466+N466+R466+S466+V466+W466+AD466+O466+X466+Z466+AA466+AB466+AC466+AE466+AF466+P466+U466+AG466+AH466+AI466+AO466+AJ466+AL466+AQ466+AN466+AS466+AV466+AX466+AY466+AZ466+BA466+BC466+BD466+BE466+BF466+BG466+BH466+BI466+AT466+BK466+BL466+BN466+BO466+BP466+BQ466+BM466</f>
        <v>229.86713</v>
      </c>
      <c r="H466" s="166"/>
      <c r="I466" s="165"/>
      <c r="J466" s="160"/>
      <c r="K466" s="160"/>
      <c r="L466" s="166">
        <v>61.379980000000003</v>
      </c>
      <c r="M466" s="165">
        <v>96.201849999999993</v>
      </c>
      <c r="N466" s="165"/>
      <c r="O466" s="165"/>
      <c r="P466" s="160"/>
      <c r="Q466" s="166"/>
      <c r="R466" s="165"/>
      <c r="S466" s="165"/>
      <c r="T466" s="159"/>
      <c r="U466" s="160"/>
      <c r="V466" s="165"/>
      <c r="W466" s="165"/>
      <c r="X466" s="160"/>
      <c r="Y466" s="166">
        <v>27.127770000000002</v>
      </c>
      <c r="Z466" s="160">
        <v>9.0425900000000006</v>
      </c>
      <c r="AA466" s="160">
        <v>124.62269000000001</v>
      </c>
      <c r="AB466" s="165"/>
      <c r="AC466" s="165"/>
      <c r="AD466" s="165"/>
      <c r="AE466" s="165"/>
      <c r="AF466" s="160"/>
      <c r="AG466" s="160"/>
      <c r="AH466" s="160"/>
      <c r="AI466" s="160"/>
      <c r="AJ466" s="161"/>
      <c r="AK466" s="162"/>
      <c r="AL466" s="165"/>
      <c r="AM466" s="166"/>
      <c r="AN466" s="165"/>
      <c r="AO466" s="160"/>
      <c r="AP466" s="162"/>
      <c r="AQ466" s="161"/>
      <c r="AR466" s="162"/>
      <c r="AS466" s="161"/>
      <c r="AT466" s="165"/>
      <c r="AU466" s="166"/>
      <c r="AV466" s="165"/>
      <c r="AW466" s="166"/>
      <c r="AX466" s="165"/>
      <c r="AY466" s="165"/>
      <c r="AZ466" s="165"/>
      <c r="BA466" s="165"/>
      <c r="BB466" s="166"/>
      <c r="BC466" s="165"/>
      <c r="BD466" s="165"/>
      <c r="BE466" s="165"/>
      <c r="BF466" s="165"/>
      <c r="BG466" s="165"/>
      <c r="BH466" s="165"/>
      <c r="BI466" s="165"/>
      <c r="BJ466" s="166"/>
      <c r="BK466" s="165"/>
      <c r="BL466" s="165"/>
      <c r="BM466" s="163"/>
      <c r="BN466" s="165"/>
      <c r="BO466" s="165"/>
      <c r="BP466" s="165"/>
      <c r="BQ466" s="167"/>
    </row>
    <row r="467" spans="1:270" ht="39.950000000000003" customHeight="1" outlineLevel="1" x14ac:dyDescent="0.3">
      <c r="A467" s="15" t="s">
        <v>613</v>
      </c>
      <c r="B467" s="12" t="s">
        <v>1538</v>
      </c>
      <c r="C467" s="9" t="s">
        <v>30</v>
      </c>
      <c r="D467" s="23" t="s">
        <v>1570</v>
      </c>
      <c r="E467" s="158">
        <f t="shared" si="96"/>
        <v>3000</v>
      </c>
      <c r="F467" s="159">
        <f t="shared" si="97"/>
        <v>2850</v>
      </c>
      <c r="G467" s="160">
        <f t="shared" si="98"/>
        <v>150</v>
      </c>
      <c r="H467" s="166"/>
      <c r="I467" s="165"/>
      <c r="J467" s="160"/>
      <c r="K467" s="160"/>
      <c r="L467" s="166"/>
      <c r="M467" s="165"/>
      <c r="N467" s="165"/>
      <c r="O467" s="165"/>
      <c r="P467" s="160"/>
      <c r="Q467" s="166"/>
      <c r="R467" s="165"/>
      <c r="S467" s="165"/>
      <c r="T467" s="159"/>
      <c r="U467" s="160"/>
      <c r="V467" s="165"/>
      <c r="W467" s="165"/>
      <c r="X467" s="160"/>
      <c r="Y467" s="166"/>
      <c r="Z467" s="160"/>
      <c r="AA467" s="160"/>
      <c r="AB467" s="165"/>
      <c r="AC467" s="165"/>
      <c r="AD467" s="165"/>
      <c r="AE467" s="165"/>
      <c r="AF467" s="160"/>
      <c r="AG467" s="160"/>
      <c r="AH467" s="160"/>
      <c r="AI467" s="160"/>
      <c r="AJ467" s="161"/>
      <c r="AK467" s="162"/>
      <c r="AL467" s="165"/>
      <c r="AM467" s="166">
        <v>2850</v>
      </c>
      <c r="AN467" s="165">
        <v>150</v>
      </c>
      <c r="AO467" s="160"/>
      <c r="AP467" s="162"/>
      <c r="AQ467" s="161"/>
      <c r="AR467" s="162"/>
      <c r="AS467" s="161"/>
      <c r="AT467" s="165"/>
      <c r="AU467" s="166"/>
      <c r="AV467" s="165"/>
      <c r="AW467" s="166"/>
      <c r="AX467" s="165"/>
      <c r="AY467" s="165"/>
      <c r="AZ467" s="165"/>
      <c r="BA467" s="165"/>
      <c r="BB467" s="166"/>
      <c r="BC467" s="165"/>
      <c r="BD467" s="165"/>
      <c r="BE467" s="165"/>
      <c r="BF467" s="165"/>
      <c r="BG467" s="165"/>
      <c r="BH467" s="165"/>
      <c r="BI467" s="165"/>
      <c r="BJ467" s="166"/>
      <c r="BK467" s="165"/>
      <c r="BL467" s="165"/>
      <c r="BM467" s="163"/>
      <c r="BN467" s="165"/>
      <c r="BO467" s="165"/>
      <c r="BP467" s="165"/>
      <c r="BQ467" s="167"/>
    </row>
    <row r="468" spans="1:270" ht="39.950000000000003" customHeight="1" outlineLevel="1" x14ac:dyDescent="0.3">
      <c r="A468" s="15" t="s">
        <v>613</v>
      </c>
      <c r="B468" s="12" t="s">
        <v>1545</v>
      </c>
      <c r="C468" s="9" t="s">
        <v>30</v>
      </c>
      <c r="D468" s="23" t="s">
        <v>1571</v>
      </c>
      <c r="E468" s="158">
        <f t="shared" si="96"/>
        <v>2896.92</v>
      </c>
      <c r="F468" s="159">
        <f t="shared" si="97"/>
        <v>2752.0740000000001</v>
      </c>
      <c r="G468" s="160">
        <f t="shared" si="98"/>
        <v>144.846</v>
      </c>
      <c r="H468" s="166"/>
      <c r="I468" s="165"/>
      <c r="J468" s="160"/>
      <c r="K468" s="160"/>
      <c r="L468" s="166"/>
      <c r="M468" s="165"/>
      <c r="N468" s="165"/>
      <c r="O468" s="165"/>
      <c r="P468" s="160"/>
      <c r="Q468" s="166"/>
      <c r="R468" s="165"/>
      <c r="S468" s="165"/>
      <c r="T468" s="159"/>
      <c r="U468" s="160"/>
      <c r="V468" s="165"/>
      <c r="W468" s="165"/>
      <c r="X468" s="160"/>
      <c r="Y468" s="166"/>
      <c r="Z468" s="160"/>
      <c r="AA468" s="160"/>
      <c r="AB468" s="165"/>
      <c r="AC468" s="165"/>
      <c r="AD468" s="165"/>
      <c r="AE468" s="165"/>
      <c r="AF468" s="160"/>
      <c r="AG468" s="160"/>
      <c r="AH468" s="160"/>
      <c r="AI468" s="160"/>
      <c r="AJ468" s="161"/>
      <c r="AK468" s="162"/>
      <c r="AL468" s="165"/>
      <c r="AM468" s="166">
        <v>2752.0740000000001</v>
      </c>
      <c r="AN468" s="165">
        <v>144.846</v>
      </c>
      <c r="AO468" s="160"/>
      <c r="AP468" s="162"/>
      <c r="AQ468" s="161"/>
      <c r="AR468" s="162"/>
      <c r="AS468" s="161"/>
      <c r="AT468" s="165"/>
      <c r="AU468" s="166"/>
      <c r="AV468" s="165"/>
      <c r="AW468" s="166"/>
      <c r="AX468" s="165"/>
      <c r="AY468" s="165"/>
      <c r="AZ468" s="165"/>
      <c r="BA468" s="165"/>
      <c r="BB468" s="166"/>
      <c r="BC468" s="165"/>
      <c r="BD468" s="165"/>
      <c r="BE468" s="165"/>
      <c r="BF468" s="165"/>
      <c r="BG468" s="165"/>
      <c r="BH468" s="165"/>
      <c r="BI468" s="165"/>
      <c r="BJ468" s="166"/>
      <c r="BK468" s="165"/>
      <c r="BL468" s="165"/>
      <c r="BM468" s="163"/>
      <c r="BN468" s="165"/>
      <c r="BO468" s="165"/>
      <c r="BP468" s="165"/>
      <c r="BQ468" s="167"/>
    </row>
    <row r="469" spans="1:270" ht="39.950000000000003" customHeight="1" outlineLevel="1" x14ac:dyDescent="0.3">
      <c r="A469" s="15" t="s">
        <v>613</v>
      </c>
      <c r="B469" s="12" t="s">
        <v>1286</v>
      </c>
      <c r="C469" s="9" t="s">
        <v>30</v>
      </c>
      <c r="D469" s="23" t="s">
        <v>1209</v>
      </c>
      <c r="E469" s="158">
        <f t="shared" si="96"/>
        <v>665.81880000000001</v>
      </c>
      <c r="F469" s="159">
        <f t="shared" si="97"/>
        <v>288.21854000000002</v>
      </c>
      <c r="G469" s="160">
        <f t="shared" si="98"/>
        <v>377.60026000000005</v>
      </c>
      <c r="H469" s="159">
        <v>96.479249999999993</v>
      </c>
      <c r="I469" s="160">
        <v>32.159750000000003</v>
      </c>
      <c r="J469" s="160"/>
      <c r="K469" s="160"/>
      <c r="L469" s="159">
        <v>191.73929000000001</v>
      </c>
      <c r="M469" s="160">
        <v>300.51616000000001</v>
      </c>
      <c r="N469" s="160"/>
      <c r="O469" s="160"/>
      <c r="P469" s="160"/>
      <c r="Q469" s="159"/>
      <c r="R469" s="160"/>
      <c r="S469" s="160"/>
      <c r="T469" s="159"/>
      <c r="U469" s="160"/>
      <c r="V469" s="160"/>
      <c r="W469" s="160"/>
      <c r="X469" s="160"/>
      <c r="Y469" s="159"/>
      <c r="Z469" s="160"/>
      <c r="AA469" s="160"/>
      <c r="AB469" s="160"/>
      <c r="AC469" s="160"/>
      <c r="AD469" s="160"/>
      <c r="AE469" s="160"/>
      <c r="AF469" s="160"/>
      <c r="AG469" s="160"/>
      <c r="AH469" s="160"/>
      <c r="AI469" s="160"/>
      <c r="AJ469" s="161"/>
      <c r="AK469" s="162"/>
      <c r="AL469" s="165"/>
      <c r="AM469" s="166"/>
      <c r="AN469" s="165"/>
      <c r="AO469" s="160"/>
      <c r="AP469" s="162"/>
      <c r="AQ469" s="161"/>
      <c r="AR469" s="162"/>
      <c r="AS469" s="161"/>
      <c r="AT469" s="165"/>
      <c r="AU469" s="166"/>
      <c r="AV469" s="165"/>
      <c r="AW469" s="166"/>
      <c r="AX469" s="165"/>
      <c r="AY469" s="165"/>
      <c r="AZ469" s="165"/>
      <c r="BA469" s="165"/>
      <c r="BB469" s="166"/>
      <c r="BC469" s="165"/>
      <c r="BD469" s="165"/>
      <c r="BE469" s="165"/>
      <c r="BF469" s="165"/>
      <c r="BG469" s="165">
        <v>44.924349999999997</v>
      </c>
      <c r="BH469" s="165"/>
      <c r="BI469" s="165"/>
      <c r="BJ469" s="166"/>
      <c r="BK469" s="165"/>
      <c r="BL469" s="165"/>
      <c r="BM469" s="163"/>
      <c r="BN469" s="165"/>
      <c r="BO469" s="165"/>
      <c r="BP469" s="165"/>
      <c r="BQ469" s="167"/>
    </row>
    <row r="470" spans="1:270" ht="39.950000000000003" customHeight="1" outlineLevel="1" x14ac:dyDescent="0.3">
      <c r="A470" s="15" t="s">
        <v>613</v>
      </c>
      <c r="B470" s="12" t="s">
        <v>1553</v>
      </c>
      <c r="C470" s="9" t="s">
        <v>30</v>
      </c>
      <c r="D470" s="23" t="s">
        <v>1554</v>
      </c>
      <c r="E470" s="158">
        <f t="shared" si="96"/>
        <v>35.5</v>
      </c>
      <c r="F470" s="159">
        <f t="shared" si="97"/>
        <v>0</v>
      </c>
      <c r="G470" s="160">
        <f t="shared" si="98"/>
        <v>35.5</v>
      </c>
      <c r="H470" s="166"/>
      <c r="I470" s="165"/>
      <c r="J470" s="160"/>
      <c r="K470" s="160"/>
      <c r="L470" s="166"/>
      <c r="M470" s="165"/>
      <c r="N470" s="165"/>
      <c r="O470" s="165"/>
      <c r="P470" s="160"/>
      <c r="Q470" s="166"/>
      <c r="R470" s="165"/>
      <c r="S470" s="165">
        <v>35.5</v>
      </c>
      <c r="T470" s="159"/>
      <c r="U470" s="160"/>
      <c r="V470" s="165"/>
      <c r="W470" s="165"/>
      <c r="X470" s="160"/>
      <c r="Y470" s="166"/>
      <c r="Z470" s="160"/>
      <c r="AA470" s="160"/>
      <c r="AB470" s="165"/>
      <c r="AC470" s="165"/>
      <c r="AD470" s="165"/>
      <c r="AE470" s="165"/>
      <c r="AF470" s="160"/>
      <c r="AG470" s="160"/>
      <c r="AH470" s="160"/>
      <c r="AI470" s="160"/>
      <c r="AJ470" s="161"/>
      <c r="AK470" s="162"/>
      <c r="AL470" s="165"/>
      <c r="AM470" s="166"/>
      <c r="AN470" s="165"/>
      <c r="AO470" s="160"/>
      <c r="AP470" s="162"/>
      <c r="AQ470" s="161"/>
      <c r="AR470" s="162"/>
      <c r="AS470" s="161"/>
      <c r="AT470" s="165"/>
      <c r="AU470" s="166"/>
      <c r="AV470" s="165"/>
      <c r="AW470" s="166"/>
      <c r="AX470" s="165"/>
      <c r="AY470" s="165"/>
      <c r="AZ470" s="165"/>
      <c r="BA470" s="165"/>
      <c r="BB470" s="166"/>
      <c r="BC470" s="165"/>
      <c r="BD470" s="165"/>
      <c r="BE470" s="165"/>
      <c r="BF470" s="165"/>
      <c r="BG470" s="165"/>
      <c r="BH470" s="165"/>
      <c r="BI470" s="165"/>
      <c r="BJ470" s="166"/>
      <c r="BK470" s="165"/>
      <c r="BL470" s="165"/>
      <c r="BM470" s="163"/>
      <c r="BN470" s="165"/>
      <c r="BO470" s="165"/>
      <c r="BP470" s="165"/>
      <c r="BQ470" s="167"/>
    </row>
    <row r="471" spans="1:270" ht="39.950000000000003" customHeight="1" outlineLevel="1" x14ac:dyDescent="0.3">
      <c r="A471" s="15" t="s">
        <v>613</v>
      </c>
      <c r="B471" s="12" t="s">
        <v>1288</v>
      </c>
      <c r="C471" s="9" t="s">
        <v>30</v>
      </c>
      <c r="D471" s="23" t="s">
        <v>1211</v>
      </c>
      <c r="E471" s="158">
        <f t="shared" si="96"/>
        <v>327.51214999999996</v>
      </c>
      <c r="F471" s="159">
        <f t="shared" si="97"/>
        <v>53.58</v>
      </c>
      <c r="G471" s="160">
        <f t="shared" si="98"/>
        <v>273.93214999999998</v>
      </c>
      <c r="H471" s="166"/>
      <c r="I471" s="165"/>
      <c r="J471" s="160"/>
      <c r="K471" s="160"/>
      <c r="L471" s="166"/>
      <c r="M471" s="165"/>
      <c r="N471" s="165"/>
      <c r="O471" s="165"/>
      <c r="P471" s="160"/>
      <c r="Q471" s="166"/>
      <c r="R471" s="165"/>
      <c r="S471" s="165"/>
      <c r="T471" s="159"/>
      <c r="U471" s="160"/>
      <c r="V471" s="165"/>
      <c r="W471" s="165"/>
      <c r="X471" s="160"/>
      <c r="Y471" s="166">
        <v>53.58</v>
      </c>
      <c r="Z471" s="160">
        <v>17.86</v>
      </c>
      <c r="AA471" s="160">
        <v>214.58244999999999</v>
      </c>
      <c r="AB471" s="165"/>
      <c r="AC471" s="165"/>
      <c r="AD471" s="165"/>
      <c r="AE471" s="165"/>
      <c r="AF471" s="160"/>
      <c r="AG471" s="160"/>
      <c r="AH471" s="160"/>
      <c r="AI471" s="160"/>
      <c r="AJ471" s="161"/>
      <c r="AK471" s="162"/>
      <c r="AL471" s="165"/>
      <c r="AM471" s="166"/>
      <c r="AN471" s="165"/>
      <c r="AO471" s="160"/>
      <c r="AP471" s="162"/>
      <c r="AQ471" s="161"/>
      <c r="AR471" s="162"/>
      <c r="AS471" s="161"/>
      <c r="AT471" s="165"/>
      <c r="AU471" s="166"/>
      <c r="AV471" s="165"/>
      <c r="AW471" s="166"/>
      <c r="AX471" s="165"/>
      <c r="AY471" s="165"/>
      <c r="AZ471" s="165"/>
      <c r="BA471" s="165"/>
      <c r="BB471" s="166"/>
      <c r="BC471" s="165"/>
      <c r="BD471" s="165"/>
      <c r="BE471" s="165">
        <v>41.489699999999999</v>
      </c>
      <c r="BF471" s="165"/>
      <c r="BG471" s="165"/>
      <c r="BH471" s="165"/>
      <c r="BI471" s="165"/>
      <c r="BJ471" s="166"/>
      <c r="BK471" s="165"/>
      <c r="BL471" s="165"/>
      <c r="BM471" s="163"/>
      <c r="BN471" s="165"/>
      <c r="BO471" s="165"/>
      <c r="BP471" s="165"/>
      <c r="BQ471" s="167"/>
    </row>
    <row r="472" spans="1:270" ht="39.950000000000003" customHeight="1" outlineLevel="1" x14ac:dyDescent="0.3">
      <c r="A472" s="15" t="s">
        <v>613</v>
      </c>
      <c r="B472" s="12" t="s">
        <v>1525</v>
      </c>
      <c r="C472" s="9" t="s">
        <v>30</v>
      </c>
      <c r="D472" s="23" t="s">
        <v>1526</v>
      </c>
      <c r="E472" s="158">
        <f t="shared" si="96"/>
        <v>140.29025000000001</v>
      </c>
      <c r="F472" s="159">
        <f t="shared" si="97"/>
        <v>0</v>
      </c>
      <c r="G472" s="160">
        <f t="shared" si="98"/>
        <v>140.29025000000001</v>
      </c>
      <c r="H472" s="166"/>
      <c r="I472" s="165"/>
      <c r="J472" s="160"/>
      <c r="K472" s="160"/>
      <c r="L472" s="166"/>
      <c r="M472" s="165"/>
      <c r="N472" s="165"/>
      <c r="O472" s="165"/>
      <c r="P472" s="160"/>
      <c r="Q472" s="166"/>
      <c r="R472" s="165"/>
      <c r="S472" s="165">
        <v>39.1</v>
      </c>
      <c r="T472" s="159"/>
      <c r="U472" s="160"/>
      <c r="V472" s="165"/>
      <c r="W472" s="165"/>
      <c r="X472" s="160"/>
      <c r="Y472" s="166"/>
      <c r="Z472" s="160"/>
      <c r="AA472" s="160"/>
      <c r="AB472" s="165"/>
      <c r="AC472" s="165"/>
      <c r="AD472" s="165"/>
      <c r="AE472" s="165"/>
      <c r="AF472" s="160"/>
      <c r="AG472" s="160"/>
      <c r="AH472" s="160"/>
      <c r="AI472" s="160"/>
      <c r="AJ472" s="161"/>
      <c r="AK472" s="162"/>
      <c r="AL472" s="165"/>
      <c r="AM472" s="166"/>
      <c r="AN472" s="165"/>
      <c r="AO472" s="160"/>
      <c r="AP472" s="162"/>
      <c r="AQ472" s="161"/>
      <c r="AR472" s="162"/>
      <c r="AS472" s="161"/>
      <c r="AT472" s="165"/>
      <c r="AU472" s="166"/>
      <c r="AV472" s="165"/>
      <c r="AW472" s="166"/>
      <c r="AX472" s="165"/>
      <c r="AY472" s="165"/>
      <c r="AZ472" s="165"/>
      <c r="BA472" s="165"/>
      <c r="BB472" s="166"/>
      <c r="BC472" s="165"/>
      <c r="BD472" s="165"/>
      <c r="BE472" s="165"/>
      <c r="BF472" s="165"/>
      <c r="BG472" s="165"/>
      <c r="BH472" s="165"/>
      <c r="BI472" s="165"/>
      <c r="BJ472" s="166"/>
      <c r="BK472" s="165"/>
      <c r="BL472" s="165"/>
      <c r="BM472" s="163"/>
      <c r="BN472" s="165"/>
      <c r="BO472" s="165">
        <v>101.19025000000001</v>
      </c>
      <c r="BP472" s="165"/>
      <c r="BQ472" s="167"/>
    </row>
    <row r="473" spans="1:270" ht="39.950000000000003" customHeight="1" outlineLevel="1" x14ac:dyDescent="0.3">
      <c r="A473" s="17" t="s">
        <v>613</v>
      </c>
      <c r="B473" s="12" t="s">
        <v>1452</v>
      </c>
      <c r="C473" s="9" t="s">
        <v>30</v>
      </c>
      <c r="D473" s="66" t="s">
        <v>627</v>
      </c>
      <c r="E473" s="158">
        <f t="shared" si="96"/>
        <v>502.54116000000005</v>
      </c>
      <c r="F473" s="159">
        <f t="shared" si="97"/>
        <v>274.43812000000003</v>
      </c>
      <c r="G473" s="160">
        <f t="shared" si="98"/>
        <v>228.10304000000002</v>
      </c>
      <c r="H473" s="166"/>
      <c r="I473" s="165"/>
      <c r="J473" s="160"/>
      <c r="K473" s="160"/>
      <c r="L473" s="166">
        <v>85.151849999999996</v>
      </c>
      <c r="M473" s="165">
        <v>133.4599</v>
      </c>
      <c r="N473" s="165"/>
      <c r="O473" s="165"/>
      <c r="P473" s="160"/>
      <c r="Q473" s="166"/>
      <c r="R473" s="165"/>
      <c r="S473" s="165"/>
      <c r="T473" s="159"/>
      <c r="U473" s="160"/>
      <c r="V473" s="165"/>
      <c r="W473" s="165"/>
      <c r="X473" s="160"/>
      <c r="Y473" s="166"/>
      <c r="Z473" s="160"/>
      <c r="AA473" s="160"/>
      <c r="AB473" s="165"/>
      <c r="AC473" s="165"/>
      <c r="AD473" s="165"/>
      <c r="AE473" s="165"/>
      <c r="AF473" s="160"/>
      <c r="AG473" s="160"/>
      <c r="AH473" s="160"/>
      <c r="AI473" s="160"/>
      <c r="AJ473" s="161"/>
      <c r="AK473" s="162"/>
      <c r="AL473" s="165"/>
      <c r="AM473" s="166"/>
      <c r="AN473" s="165"/>
      <c r="AO473" s="160"/>
      <c r="AP473" s="162"/>
      <c r="AQ473" s="161"/>
      <c r="AR473" s="162"/>
      <c r="AS473" s="161"/>
      <c r="AT473" s="165"/>
      <c r="AU473" s="166"/>
      <c r="AV473" s="165"/>
      <c r="AW473" s="166">
        <v>189.28627</v>
      </c>
      <c r="AX473" s="165">
        <f>38.10309+56.54005</f>
        <v>94.643140000000002</v>
      </c>
      <c r="AY473" s="165"/>
      <c r="AZ473" s="165"/>
      <c r="BA473" s="165"/>
      <c r="BB473" s="166"/>
      <c r="BC473" s="165"/>
      <c r="BD473" s="165"/>
      <c r="BE473" s="165"/>
      <c r="BF473" s="165"/>
      <c r="BG473" s="165"/>
      <c r="BH473" s="165"/>
      <c r="BI473" s="165"/>
      <c r="BJ473" s="166"/>
      <c r="BK473" s="165"/>
      <c r="BL473" s="165"/>
      <c r="BM473" s="163"/>
      <c r="BN473" s="165"/>
      <c r="BO473" s="165"/>
      <c r="BP473" s="165"/>
      <c r="BQ473" s="167"/>
    </row>
    <row r="474" spans="1:270" ht="39.950000000000003" customHeight="1" outlineLevel="1" x14ac:dyDescent="0.3">
      <c r="A474" s="17" t="s">
        <v>613</v>
      </c>
      <c r="B474" s="12" t="s">
        <v>628</v>
      </c>
      <c r="C474" s="9" t="s">
        <v>30</v>
      </c>
      <c r="D474" s="66" t="s">
        <v>629</v>
      </c>
      <c r="E474" s="158">
        <f t="shared" si="96"/>
        <v>654.18910000000005</v>
      </c>
      <c r="F474" s="159">
        <f t="shared" si="97"/>
        <v>254.81434999999999</v>
      </c>
      <c r="G474" s="160">
        <f t="shared" si="98"/>
        <v>399.37475000000001</v>
      </c>
      <c r="H474" s="166"/>
      <c r="I474" s="165"/>
      <c r="J474" s="160"/>
      <c r="K474" s="160"/>
      <c r="L474" s="166">
        <v>254.81434999999999</v>
      </c>
      <c r="M474" s="165">
        <v>399.37475000000001</v>
      </c>
      <c r="N474" s="165"/>
      <c r="O474" s="165"/>
      <c r="P474" s="160"/>
      <c r="Q474" s="166"/>
      <c r="R474" s="165"/>
      <c r="S474" s="165"/>
      <c r="T474" s="159"/>
      <c r="U474" s="160"/>
      <c r="V474" s="165"/>
      <c r="W474" s="165"/>
      <c r="X474" s="160"/>
      <c r="Y474" s="166"/>
      <c r="Z474" s="160"/>
      <c r="AA474" s="160"/>
      <c r="AB474" s="165"/>
      <c r="AC474" s="165"/>
      <c r="AD474" s="165"/>
      <c r="AE474" s="165"/>
      <c r="AF474" s="160"/>
      <c r="AG474" s="160"/>
      <c r="AH474" s="160"/>
      <c r="AI474" s="160"/>
      <c r="AJ474" s="161"/>
      <c r="AK474" s="162"/>
      <c r="AL474" s="165"/>
      <c r="AM474" s="166"/>
      <c r="AN474" s="165"/>
      <c r="AO474" s="160"/>
      <c r="AP474" s="162"/>
      <c r="AQ474" s="161"/>
      <c r="AR474" s="162"/>
      <c r="AS474" s="161"/>
      <c r="AT474" s="165"/>
      <c r="AU474" s="166"/>
      <c r="AV474" s="165"/>
      <c r="AW474" s="166"/>
      <c r="AX474" s="165"/>
      <c r="AY474" s="165"/>
      <c r="AZ474" s="165"/>
      <c r="BA474" s="165"/>
      <c r="BB474" s="166"/>
      <c r="BC474" s="165"/>
      <c r="BD474" s="165"/>
      <c r="BE474" s="165"/>
      <c r="BF474" s="165"/>
      <c r="BG474" s="165"/>
      <c r="BH474" s="165"/>
      <c r="BI474" s="165"/>
      <c r="BJ474" s="166"/>
      <c r="BK474" s="165"/>
      <c r="BL474" s="165"/>
      <c r="BM474" s="163"/>
      <c r="BN474" s="165"/>
      <c r="BO474" s="165"/>
      <c r="BP474" s="165"/>
      <c r="BQ474" s="167"/>
    </row>
    <row r="475" spans="1:270" ht="39.950000000000003" customHeight="1" outlineLevel="1" x14ac:dyDescent="0.3">
      <c r="A475" s="17" t="s">
        <v>613</v>
      </c>
      <c r="B475" s="12" t="s">
        <v>1453</v>
      </c>
      <c r="C475" s="9" t="s">
        <v>30</v>
      </c>
      <c r="D475" s="66" t="s">
        <v>630</v>
      </c>
      <c r="E475" s="158">
        <f t="shared" si="96"/>
        <v>88.222380000000001</v>
      </c>
      <c r="F475" s="159">
        <f t="shared" si="97"/>
        <v>34.36365</v>
      </c>
      <c r="G475" s="160">
        <f t="shared" si="98"/>
        <v>53.858730000000001</v>
      </c>
      <c r="H475" s="166"/>
      <c r="I475" s="165"/>
      <c r="J475" s="160"/>
      <c r="K475" s="160"/>
      <c r="L475" s="166">
        <v>34.36365</v>
      </c>
      <c r="M475" s="165">
        <v>53.858730000000001</v>
      </c>
      <c r="N475" s="165"/>
      <c r="O475" s="165"/>
      <c r="P475" s="160"/>
      <c r="Q475" s="166"/>
      <c r="R475" s="165"/>
      <c r="S475" s="165"/>
      <c r="T475" s="159"/>
      <c r="U475" s="160"/>
      <c r="V475" s="165"/>
      <c r="W475" s="165"/>
      <c r="X475" s="160"/>
      <c r="Y475" s="166"/>
      <c r="Z475" s="160"/>
      <c r="AA475" s="160"/>
      <c r="AB475" s="165"/>
      <c r="AC475" s="165"/>
      <c r="AD475" s="165"/>
      <c r="AE475" s="165"/>
      <c r="AF475" s="160"/>
      <c r="AG475" s="160"/>
      <c r="AH475" s="160"/>
      <c r="AI475" s="160"/>
      <c r="AJ475" s="161"/>
      <c r="AK475" s="162"/>
      <c r="AL475" s="165"/>
      <c r="AM475" s="166"/>
      <c r="AN475" s="165"/>
      <c r="AO475" s="160"/>
      <c r="AP475" s="162"/>
      <c r="AQ475" s="161"/>
      <c r="AR475" s="162"/>
      <c r="AS475" s="161"/>
      <c r="AT475" s="165"/>
      <c r="AU475" s="166"/>
      <c r="AV475" s="165"/>
      <c r="AW475" s="166"/>
      <c r="AX475" s="165"/>
      <c r="AY475" s="165"/>
      <c r="AZ475" s="165"/>
      <c r="BA475" s="165"/>
      <c r="BB475" s="166"/>
      <c r="BC475" s="165"/>
      <c r="BD475" s="165"/>
      <c r="BE475" s="165"/>
      <c r="BF475" s="165"/>
      <c r="BG475" s="165"/>
      <c r="BH475" s="165"/>
      <c r="BI475" s="165"/>
      <c r="BJ475" s="166"/>
      <c r="BK475" s="165"/>
      <c r="BL475" s="165"/>
      <c r="BM475" s="163"/>
      <c r="BN475" s="165"/>
      <c r="BO475" s="165"/>
      <c r="BP475" s="165"/>
      <c r="BQ475" s="167"/>
    </row>
    <row r="476" spans="1:270" ht="39.950000000000003" customHeight="1" outlineLevel="1" x14ac:dyDescent="0.3">
      <c r="A476" s="15" t="s">
        <v>613</v>
      </c>
      <c r="B476" s="12" t="s">
        <v>631</v>
      </c>
      <c r="C476" s="9" t="s">
        <v>73</v>
      </c>
      <c r="D476" s="9" t="s">
        <v>1212</v>
      </c>
      <c r="E476" s="158">
        <f t="shared" si="96"/>
        <v>7117.103439999999</v>
      </c>
      <c r="F476" s="159">
        <f t="shared" si="97"/>
        <v>0</v>
      </c>
      <c r="G476" s="160">
        <f t="shared" si="98"/>
        <v>7117.103439999999</v>
      </c>
      <c r="H476" s="166"/>
      <c r="I476" s="165"/>
      <c r="J476" s="160"/>
      <c r="K476" s="160"/>
      <c r="L476" s="166"/>
      <c r="M476" s="165"/>
      <c r="N476" s="165"/>
      <c r="O476" s="165"/>
      <c r="P476" s="160"/>
      <c r="Q476" s="166"/>
      <c r="R476" s="165"/>
      <c r="S476" s="165"/>
      <c r="T476" s="159"/>
      <c r="U476" s="160"/>
      <c r="V476" s="165"/>
      <c r="W476" s="165"/>
      <c r="X476" s="160"/>
      <c r="Y476" s="166"/>
      <c r="Z476" s="160"/>
      <c r="AA476" s="160"/>
      <c r="AB476" s="165"/>
      <c r="AC476" s="165"/>
      <c r="AD476" s="165"/>
      <c r="AE476" s="165"/>
      <c r="AF476" s="160"/>
      <c r="AG476" s="160"/>
      <c r="AH476" s="160"/>
      <c r="AI476" s="160"/>
      <c r="AJ476" s="161"/>
      <c r="AK476" s="162"/>
      <c r="AL476" s="165"/>
      <c r="AM476" s="166"/>
      <c r="AN476" s="165"/>
      <c r="AO476" s="160"/>
      <c r="AP476" s="162"/>
      <c r="AQ476" s="161"/>
      <c r="AR476" s="162"/>
      <c r="AS476" s="161"/>
      <c r="AT476" s="165">
        <f>4915.9211+2201.18234</f>
        <v>7117.103439999999</v>
      </c>
      <c r="AU476" s="166"/>
      <c r="AV476" s="165"/>
      <c r="AW476" s="166"/>
      <c r="AX476" s="165"/>
      <c r="AY476" s="165"/>
      <c r="AZ476" s="165"/>
      <c r="BA476" s="165"/>
      <c r="BB476" s="166"/>
      <c r="BC476" s="165"/>
      <c r="BD476" s="165"/>
      <c r="BE476" s="165"/>
      <c r="BF476" s="165"/>
      <c r="BG476" s="165"/>
      <c r="BH476" s="165"/>
      <c r="BI476" s="165"/>
      <c r="BJ476" s="166"/>
      <c r="BK476" s="165"/>
      <c r="BL476" s="165"/>
      <c r="BM476" s="163"/>
      <c r="BN476" s="165"/>
      <c r="BO476" s="165"/>
      <c r="BP476" s="165"/>
      <c r="BQ476" s="167"/>
    </row>
    <row r="477" spans="1:270" ht="39.950000000000003" customHeight="1" outlineLevel="1" x14ac:dyDescent="0.3">
      <c r="A477" s="15" t="s">
        <v>613</v>
      </c>
      <c r="B477" s="12" t="s">
        <v>614</v>
      </c>
      <c r="C477" s="9" t="s">
        <v>6</v>
      </c>
      <c r="D477" s="66" t="s">
        <v>615</v>
      </c>
      <c r="E477" s="158">
        <f t="shared" si="96"/>
        <v>128568.10522</v>
      </c>
      <c r="F477" s="159">
        <f t="shared" si="97"/>
        <v>31825.63537</v>
      </c>
      <c r="G477" s="160">
        <f t="shared" si="98"/>
        <v>96742.469849999994</v>
      </c>
      <c r="H477" s="166">
        <v>9619.8787900000007</v>
      </c>
      <c r="I477" s="165">
        <v>3206.6262700000002</v>
      </c>
      <c r="J477" s="160">
        <v>3285</v>
      </c>
      <c r="K477" s="160"/>
      <c r="L477" s="166">
        <v>2725.0959499999999</v>
      </c>
      <c r="M477" s="165">
        <v>4271.0880699999998</v>
      </c>
      <c r="N477" s="165"/>
      <c r="O477" s="165">
        <v>1861.22</v>
      </c>
      <c r="P477" s="160"/>
      <c r="Q477" s="166">
        <v>12676.468199999999</v>
      </c>
      <c r="R477" s="165">
        <v>4225.4894000000004</v>
      </c>
      <c r="S477" s="165">
        <f>1554.84+6486.75834</f>
        <v>8041.5983400000005</v>
      </c>
      <c r="T477" s="159">
        <v>652.55560000000003</v>
      </c>
      <c r="U477" s="160">
        <v>217.51853</v>
      </c>
      <c r="V477" s="165"/>
      <c r="W477" s="165"/>
      <c r="X477" s="160"/>
      <c r="Y477" s="166">
        <v>5904.5602799999997</v>
      </c>
      <c r="Z477" s="160">
        <v>1968.18676</v>
      </c>
      <c r="AA477" s="160">
        <v>25530.593420000001</v>
      </c>
      <c r="AB477" s="165"/>
      <c r="AC477" s="165"/>
      <c r="AD477" s="165"/>
      <c r="AE477" s="165"/>
      <c r="AF477" s="160"/>
      <c r="AG477" s="160"/>
      <c r="AH477" s="160"/>
      <c r="AI477" s="160">
        <v>1846.1095600000001</v>
      </c>
      <c r="AJ477" s="161"/>
      <c r="AK477" s="162"/>
      <c r="AL477" s="165"/>
      <c r="AM477" s="166"/>
      <c r="AN477" s="165"/>
      <c r="AO477" s="160"/>
      <c r="AP477" s="162"/>
      <c r="AQ477" s="161"/>
      <c r="AR477" s="162"/>
      <c r="AS477" s="161"/>
      <c r="AT477" s="165"/>
      <c r="AU477" s="166"/>
      <c r="AV477" s="165"/>
      <c r="AW477" s="166">
        <f>65.74216+181.33439</f>
        <v>247.07655</v>
      </c>
      <c r="AX477" s="165">
        <f>20.87008+19.63726+54.16482</f>
        <v>94.672159999999991</v>
      </c>
      <c r="AY477" s="165">
        <v>875.08447999999999</v>
      </c>
      <c r="AZ477" s="165"/>
      <c r="BA477" s="165">
        <v>5575.0618400000003</v>
      </c>
      <c r="BB477" s="166"/>
      <c r="BC477" s="165"/>
      <c r="BD477" s="165"/>
      <c r="BE477" s="165">
        <v>10088.8292</v>
      </c>
      <c r="BF477" s="165">
        <v>22757.533169999999</v>
      </c>
      <c r="BG477" s="165">
        <v>764.75381000000004</v>
      </c>
      <c r="BH477" s="165"/>
      <c r="BI477" s="165"/>
      <c r="BJ477" s="166"/>
      <c r="BK477" s="165"/>
      <c r="BL477" s="165"/>
      <c r="BM477" s="163"/>
      <c r="BN477" s="165">
        <v>13.59999</v>
      </c>
      <c r="BO477" s="165">
        <v>1113.55837</v>
      </c>
      <c r="BP477" s="165">
        <v>670.64648</v>
      </c>
      <c r="BQ477" s="167">
        <v>335.3</v>
      </c>
    </row>
    <row r="478" spans="1:270" ht="39.950000000000003" customHeight="1" outlineLevel="1" x14ac:dyDescent="0.3">
      <c r="A478" s="15" t="s">
        <v>613</v>
      </c>
      <c r="B478" s="12" t="s">
        <v>616</v>
      </c>
      <c r="C478" s="9" t="s">
        <v>6</v>
      </c>
      <c r="D478" s="66" t="s">
        <v>617</v>
      </c>
      <c r="E478" s="158">
        <f t="shared" si="96"/>
        <v>67857.208129999985</v>
      </c>
      <c r="F478" s="159">
        <f t="shared" si="97"/>
        <v>18208.567289999999</v>
      </c>
      <c r="G478" s="160">
        <f t="shared" si="98"/>
        <v>49648.640839999993</v>
      </c>
      <c r="H478" s="166">
        <v>3364.1682300000002</v>
      </c>
      <c r="I478" s="165">
        <v>1121.38941</v>
      </c>
      <c r="J478" s="179">
        <v>2454</v>
      </c>
      <c r="K478" s="179"/>
      <c r="L478" s="166">
        <v>1307.9708599999999</v>
      </c>
      <c r="M478" s="165">
        <v>2050.0044200000002</v>
      </c>
      <c r="N478" s="165"/>
      <c r="O478" s="165"/>
      <c r="P478" s="160"/>
      <c r="Q478" s="166">
        <v>7773.5036399999999</v>
      </c>
      <c r="R478" s="165">
        <v>2591.16788</v>
      </c>
      <c r="S478" s="165"/>
      <c r="T478" s="159">
        <v>640.56890999999996</v>
      </c>
      <c r="U478" s="160">
        <v>213.52296999999999</v>
      </c>
      <c r="V478" s="165"/>
      <c r="W478" s="165"/>
      <c r="X478" s="160"/>
      <c r="Y478" s="166">
        <v>3856.0636800000002</v>
      </c>
      <c r="Z478" s="160">
        <v>1285.35456</v>
      </c>
      <c r="AA478" s="160">
        <v>18214.868989999999</v>
      </c>
      <c r="AB478" s="165"/>
      <c r="AC478" s="165"/>
      <c r="AD478" s="165"/>
      <c r="AE478" s="165"/>
      <c r="AF478" s="160"/>
      <c r="AG478" s="160"/>
      <c r="AH478" s="160"/>
      <c r="AI478" s="180"/>
      <c r="AJ478" s="161"/>
      <c r="AK478" s="162"/>
      <c r="AL478" s="165"/>
      <c r="AM478" s="166"/>
      <c r="AN478" s="165"/>
      <c r="AO478" s="180"/>
      <c r="AP478" s="162"/>
      <c r="AQ478" s="161"/>
      <c r="AR478" s="162"/>
      <c r="AS478" s="161"/>
      <c r="AT478" s="165"/>
      <c r="AU478" s="166"/>
      <c r="AV478" s="165"/>
      <c r="AW478" s="166">
        <f>1206.76252+59.52945</f>
        <v>1266.29197</v>
      </c>
      <c r="AX478" s="165">
        <f>83.58314+4.52345+360.46153+17.78151</f>
        <v>466.34962999999999</v>
      </c>
      <c r="AY478" s="165">
        <v>12.78707</v>
      </c>
      <c r="AZ478" s="165"/>
      <c r="BA478" s="165">
        <v>3379.18273</v>
      </c>
      <c r="BB478" s="166"/>
      <c r="BC478" s="165"/>
      <c r="BD478" s="165"/>
      <c r="BE478" s="165">
        <v>5886.6987600000002</v>
      </c>
      <c r="BF478" s="165">
        <v>9989.3087500000001</v>
      </c>
      <c r="BG478" s="165">
        <v>1285.26358</v>
      </c>
      <c r="BH478" s="165"/>
      <c r="BI478" s="165"/>
      <c r="BJ478" s="166"/>
      <c r="BK478" s="165"/>
      <c r="BL478" s="165"/>
      <c r="BM478" s="163"/>
      <c r="BN478" s="165">
        <v>10</v>
      </c>
      <c r="BO478" s="165">
        <v>688.74208999999996</v>
      </c>
      <c r="BP478" s="165"/>
      <c r="BQ478" s="167"/>
    </row>
    <row r="479" spans="1:270" ht="39.950000000000003" customHeight="1" outlineLevel="1" x14ac:dyDescent="0.3">
      <c r="A479" s="17" t="s">
        <v>613</v>
      </c>
      <c r="B479" s="12" t="s">
        <v>618</v>
      </c>
      <c r="C479" s="9" t="s">
        <v>6</v>
      </c>
      <c r="D479" s="66" t="s">
        <v>619</v>
      </c>
      <c r="E479" s="158">
        <f t="shared" si="96"/>
        <v>63282.602339999998</v>
      </c>
      <c r="F479" s="159">
        <f t="shared" si="97"/>
        <v>15015.656720000001</v>
      </c>
      <c r="G479" s="160">
        <f t="shared" si="98"/>
        <v>48266.945619999999</v>
      </c>
      <c r="H479" s="166">
        <v>5069.3653599999998</v>
      </c>
      <c r="I479" s="165">
        <v>1689.78845</v>
      </c>
      <c r="J479" s="160">
        <v>912</v>
      </c>
      <c r="K479" s="160"/>
      <c r="L479" s="166">
        <f>1833.84962+304.88447</f>
        <v>2138.7340899999999</v>
      </c>
      <c r="M479" s="165">
        <f>2874.22292+477.85049</f>
        <v>3352.07341</v>
      </c>
      <c r="N479" s="165"/>
      <c r="O479" s="165">
        <v>1086.92</v>
      </c>
      <c r="P479" s="160">
        <v>58.165179999999999</v>
      </c>
      <c r="Q479" s="166">
        <v>4400.0964000000004</v>
      </c>
      <c r="R479" s="165">
        <v>1466.6987999999999</v>
      </c>
      <c r="S479" s="165"/>
      <c r="T479" s="159">
        <v>340.92653000000001</v>
      </c>
      <c r="U479" s="160">
        <v>113.64218</v>
      </c>
      <c r="V479" s="165"/>
      <c r="W479" s="165"/>
      <c r="X479" s="160"/>
      <c r="Y479" s="166">
        <v>2516.4362700000001</v>
      </c>
      <c r="Z479" s="160">
        <v>838.81209000000001</v>
      </c>
      <c r="AA479" s="160">
        <v>10543.7338</v>
      </c>
      <c r="AB479" s="165"/>
      <c r="AC479" s="165"/>
      <c r="AD479" s="165"/>
      <c r="AE479" s="165"/>
      <c r="AF479" s="160"/>
      <c r="AG479" s="160"/>
      <c r="AH479" s="160"/>
      <c r="AI479" s="160">
        <v>727.29453000000001</v>
      </c>
      <c r="AJ479" s="161"/>
      <c r="AK479" s="162"/>
      <c r="AL479" s="165"/>
      <c r="AM479" s="166"/>
      <c r="AN479" s="165"/>
      <c r="AO479" s="160"/>
      <c r="AP479" s="162"/>
      <c r="AQ479" s="161"/>
      <c r="AR479" s="162"/>
      <c r="AS479" s="161"/>
      <c r="AT479" s="165"/>
      <c r="AU479" s="166"/>
      <c r="AV479" s="165"/>
      <c r="AW479" s="166">
        <f>118.26218+37.57278+394.26311</f>
        <v>550.09807000000001</v>
      </c>
      <c r="AX479" s="165">
        <f>13.61101+4.32432+45.37646+35.32507+11.22303+117.76689</f>
        <v>227.62678</v>
      </c>
      <c r="AY479" s="165"/>
      <c r="AZ479" s="165"/>
      <c r="BA479" s="165">
        <v>2821.3765800000001</v>
      </c>
      <c r="BB479" s="166"/>
      <c r="BC479" s="165"/>
      <c r="BD479" s="165"/>
      <c r="BE479" s="165">
        <v>4554.5336900000002</v>
      </c>
      <c r="BF479" s="165">
        <v>16832.746810000001</v>
      </c>
      <c r="BG479" s="165">
        <v>1535.1516799999999</v>
      </c>
      <c r="BH479" s="165"/>
      <c r="BI479" s="165"/>
      <c r="BJ479" s="166"/>
      <c r="BK479" s="165"/>
      <c r="BL479" s="165"/>
      <c r="BM479" s="163"/>
      <c r="BN479" s="165"/>
      <c r="BO479" s="165">
        <v>1506.3816400000001</v>
      </c>
      <c r="BP479" s="165"/>
      <c r="BQ479" s="167"/>
    </row>
    <row r="480" spans="1:270" ht="39.950000000000003" customHeight="1" outlineLevel="1" x14ac:dyDescent="0.3">
      <c r="A480" s="17" t="s">
        <v>613</v>
      </c>
      <c r="B480" s="12" t="s">
        <v>620</v>
      </c>
      <c r="C480" s="9" t="s">
        <v>6</v>
      </c>
      <c r="D480" s="66" t="s">
        <v>621</v>
      </c>
      <c r="E480" s="158">
        <f t="shared" si="96"/>
        <v>178.21737000000002</v>
      </c>
      <c r="F480" s="159">
        <f t="shared" si="97"/>
        <v>69.417760000000001</v>
      </c>
      <c r="G480" s="160">
        <f t="shared" si="98"/>
        <v>108.79961</v>
      </c>
      <c r="H480" s="166"/>
      <c r="I480" s="165"/>
      <c r="J480" s="160"/>
      <c r="K480" s="160"/>
      <c r="L480" s="166">
        <v>69.417760000000001</v>
      </c>
      <c r="M480" s="165">
        <v>108.79961</v>
      </c>
      <c r="N480" s="165"/>
      <c r="O480" s="165"/>
      <c r="P480" s="160"/>
      <c r="Q480" s="166"/>
      <c r="R480" s="165"/>
      <c r="S480" s="165"/>
      <c r="T480" s="159"/>
      <c r="U480" s="160"/>
      <c r="V480" s="165"/>
      <c r="W480" s="165"/>
      <c r="X480" s="160"/>
      <c r="Y480" s="166"/>
      <c r="Z480" s="160"/>
      <c r="AA480" s="160"/>
      <c r="AB480" s="165"/>
      <c r="AC480" s="165"/>
      <c r="AD480" s="165"/>
      <c r="AE480" s="165"/>
      <c r="AF480" s="160"/>
      <c r="AG480" s="160"/>
      <c r="AH480" s="160"/>
      <c r="AI480" s="160"/>
      <c r="AJ480" s="161"/>
      <c r="AK480" s="162"/>
      <c r="AL480" s="165"/>
      <c r="AM480" s="166"/>
      <c r="AN480" s="165"/>
      <c r="AO480" s="160"/>
      <c r="AP480" s="162"/>
      <c r="AQ480" s="161"/>
      <c r="AR480" s="162"/>
      <c r="AS480" s="161"/>
      <c r="AT480" s="165"/>
      <c r="AU480" s="166"/>
      <c r="AV480" s="165"/>
      <c r="AW480" s="166"/>
      <c r="AX480" s="165"/>
      <c r="AY480" s="165"/>
      <c r="AZ480" s="165"/>
      <c r="BA480" s="165"/>
      <c r="BB480" s="166"/>
      <c r="BC480" s="165"/>
      <c r="BD480" s="165"/>
      <c r="BE480" s="165"/>
      <c r="BF480" s="165"/>
      <c r="BG480" s="165"/>
      <c r="BH480" s="165"/>
      <c r="BI480" s="165"/>
      <c r="BJ480" s="166"/>
      <c r="BK480" s="165"/>
      <c r="BL480" s="165"/>
      <c r="BM480" s="163"/>
      <c r="BN480" s="165"/>
      <c r="BO480" s="165"/>
      <c r="BP480" s="165"/>
      <c r="BQ480" s="167"/>
    </row>
    <row r="481" spans="1:270" ht="39.950000000000003" customHeight="1" outlineLevel="1" x14ac:dyDescent="0.3">
      <c r="A481" s="17" t="s">
        <v>613</v>
      </c>
      <c r="B481" s="12" t="s">
        <v>622</v>
      </c>
      <c r="C481" s="9" t="s">
        <v>6</v>
      </c>
      <c r="D481" s="66" t="s">
        <v>623</v>
      </c>
      <c r="E481" s="158">
        <f t="shared" si="96"/>
        <v>7945.5761099999991</v>
      </c>
      <c r="F481" s="159">
        <f t="shared" si="97"/>
        <v>1501.5239799999999</v>
      </c>
      <c r="G481" s="160">
        <f t="shared" si="98"/>
        <v>6444.0521299999991</v>
      </c>
      <c r="H481" s="166">
        <v>523.45124999999996</v>
      </c>
      <c r="I481" s="165">
        <v>174.48374999999999</v>
      </c>
      <c r="J481" s="160">
        <v>307.2</v>
      </c>
      <c r="K481" s="160"/>
      <c r="L481" s="166">
        <v>978.07272999999998</v>
      </c>
      <c r="M481" s="165">
        <v>1532.9496099999999</v>
      </c>
      <c r="N481" s="165"/>
      <c r="O481" s="165"/>
      <c r="P481" s="160"/>
      <c r="Q481" s="166"/>
      <c r="R481" s="165"/>
      <c r="S481" s="165">
        <f>587.18334+1182.15</f>
        <v>1769.3333400000001</v>
      </c>
      <c r="T481" s="159"/>
      <c r="U481" s="160"/>
      <c r="V481" s="165"/>
      <c r="W481" s="165"/>
      <c r="X481" s="160"/>
      <c r="Y481" s="166"/>
      <c r="Z481" s="160"/>
      <c r="AA481" s="160">
        <v>2335.89977</v>
      </c>
      <c r="AB481" s="165"/>
      <c r="AC481" s="165"/>
      <c r="AD481" s="165"/>
      <c r="AE481" s="165"/>
      <c r="AF481" s="160"/>
      <c r="AG481" s="160"/>
      <c r="AH481" s="160"/>
      <c r="AI481" s="160"/>
      <c r="AJ481" s="161"/>
      <c r="AK481" s="162"/>
      <c r="AL481" s="165"/>
      <c r="AM481" s="166"/>
      <c r="AN481" s="165"/>
      <c r="AO481" s="160"/>
      <c r="AP481" s="162"/>
      <c r="AQ481" s="161"/>
      <c r="AR481" s="162"/>
      <c r="AS481" s="161"/>
      <c r="AT481" s="165"/>
      <c r="AU481" s="166"/>
      <c r="AV481" s="165"/>
      <c r="AW481" s="166"/>
      <c r="AX481" s="165"/>
      <c r="AY481" s="165"/>
      <c r="AZ481" s="165"/>
      <c r="BA481" s="165">
        <v>105.45433</v>
      </c>
      <c r="BB481" s="166"/>
      <c r="BC481" s="165"/>
      <c r="BD481" s="165"/>
      <c r="BE481" s="165">
        <v>218.73133000000001</v>
      </c>
      <c r="BF481" s="165"/>
      <c r="BG481" s="165"/>
      <c r="BH481" s="165"/>
      <c r="BI481" s="165"/>
      <c r="BJ481" s="166"/>
      <c r="BK481" s="165"/>
      <c r="BL481" s="165"/>
      <c r="BM481" s="163"/>
      <c r="BN481" s="165"/>
      <c r="BO481" s="165"/>
      <c r="BP481" s="165"/>
      <c r="BQ481" s="167"/>
    </row>
    <row r="482" spans="1:270" ht="39.950000000000003" customHeight="1" outlineLevel="1" x14ac:dyDescent="0.3">
      <c r="A482" s="15" t="s">
        <v>613</v>
      </c>
      <c r="B482" s="12" t="s">
        <v>1465</v>
      </c>
      <c r="C482" s="9" t="s">
        <v>6</v>
      </c>
      <c r="D482" s="66" t="s">
        <v>624</v>
      </c>
      <c r="E482" s="158">
        <f t="shared" si="96"/>
        <v>25379.101280000003</v>
      </c>
      <c r="F482" s="159">
        <f t="shared" si="97"/>
        <v>9023.7900399999999</v>
      </c>
      <c r="G482" s="160">
        <f t="shared" si="98"/>
        <v>16355.311240000001</v>
      </c>
      <c r="H482" s="166">
        <v>732.83175000000006</v>
      </c>
      <c r="I482" s="165">
        <v>244.27725000000001</v>
      </c>
      <c r="J482" s="160">
        <v>576</v>
      </c>
      <c r="K482" s="160"/>
      <c r="L482" s="166">
        <v>1472.23018</v>
      </c>
      <c r="M482" s="165">
        <v>2307.4507699999999</v>
      </c>
      <c r="N482" s="165"/>
      <c r="O482" s="165"/>
      <c r="P482" s="160"/>
      <c r="Q482" s="166">
        <v>4614.86301</v>
      </c>
      <c r="R482" s="165">
        <v>1538.2876699999999</v>
      </c>
      <c r="S482" s="165"/>
      <c r="T482" s="159"/>
      <c r="U482" s="160"/>
      <c r="V482" s="165"/>
      <c r="W482" s="165"/>
      <c r="X482" s="160"/>
      <c r="Y482" s="166">
        <v>2203.8651</v>
      </c>
      <c r="Z482" s="160">
        <v>734.62170000000003</v>
      </c>
      <c r="AA482" s="160">
        <v>9253.0380000000005</v>
      </c>
      <c r="AB482" s="165"/>
      <c r="AC482" s="165"/>
      <c r="AD482" s="165"/>
      <c r="AE482" s="165"/>
      <c r="AF482" s="160"/>
      <c r="AG482" s="160"/>
      <c r="AH482" s="160"/>
      <c r="AI482" s="160"/>
      <c r="AJ482" s="161"/>
      <c r="AK482" s="162"/>
      <c r="AL482" s="165"/>
      <c r="AM482" s="166"/>
      <c r="AN482" s="165"/>
      <c r="AO482" s="160"/>
      <c r="AP482" s="162"/>
      <c r="AQ482" s="161"/>
      <c r="AR482" s="162"/>
      <c r="AS482" s="161"/>
      <c r="AT482" s="165"/>
      <c r="AU482" s="166"/>
      <c r="AV482" s="165"/>
      <c r="AW482" s="166"/>
      <c r="AX482" s="165"/>
      <c r="AY482" s="165"/>
      <c r="AZ482" s="165"/>
      <c r="BA482" s="165">
        <v>500.69076999999999</v>
      </c>
      <c r="BB482" s="166"/>
      <c r="BC482" s="165"/>
      <c r="BD482" s="165"/>
      <c r="BE482" s="165"/>
      <c r="BF482" s="165"/>
      <c r="BG482" s="165">
        <v>759.59681</v>
      </c>
      <c r="BH482" s="165"/>
      <c r="BI482" s="165"/>
      <c r="BJ482" s="166"/>
      <c r="BK482" s="165"/>
      <c r="BL482" s="165"/>
      <c r="BM482" s="163"/>
      <c r="BN482" s="165"/>
      <c r="BO482" s="165">
        <v>441.34827000000001</v>
      </c>
      <c r="BP482" s="165"/>
      <c r="BQ482" s="167"/>
    </row>
    <row r="483" spans="1:270" ht="39.950000000000003" customHeight="1" outlineLevel="1" x14ac:dyDescent="0.3">
      <c r="A483" s="15" t="s">
        <v>613</v>
      </c>
      <c r="B483" s="12" t="s">
        <v>1560</v>
      </c>
      <c r="C483" s="9" t="s">
        <v>73</v>
      </c>
      <c r="D483" s="66">
        <v>2423012120</v>
      </c>
      <c r="E483" s="158">
        <f t="shared" si="96"/>
        <v>84.559989999999999</v>
      </c>
      <c r="F483" s="159">
        <f t="shared" si="97"/>
        <v>0</v>
      </c>
      <c r="G483" s="160">
        <f t="shared" si="98"/>
        <v>84.559989999999999</v>
      </c>
      <c r="H483" s="166"/>
      <c r="I483" s="165"/>
      <c r="J483" s="160"/>
      <c r="K483" s="160"/>
      <c r="L483" s="166"/>
      <c r="M483" s="165"/>
      <c r="N483" s="165"/>
      <c r="O483" s="165"/>
      <c r="P483" s="160"/>
      <c r="Q483" s="166"/>
      <c r="R483" s="165"/>
      <c r="S483" s="165"/>
      <c r="T483" s="159"/>
      <c r="U483" s="160"/>
      <c r="V483" s="165"/>
      <c r="W483" s="165"/>
      <c r="X483" s="160"/>
      <c r="Y483" s="166"/>
      <c r="Z483" s="160"/>
      <c r="AA483" s="160"/>
      <c r="AB483" s="165"/>
      <c r="AC483" s="165"/>
      <c r="AD483" s="165"/>
      <c r="AE483" s="165"/>
      <c r="AF483" s="160"/>
      <c r="AG483" s="160"/>
      <c r="AH483" s="160"/>
      <c r="AI483" s="160"/>
      <c r="AJ483" s="161"/>
      <c r="AK483" s="162"/>
      <c r="AL483" s="165"/>
      <c r="AM483" s="166"/>
      <c r="AN483" s="165"/>
      <c r="AO483" s="160"/>
      <c r="AP483" s="162"/>
      <c r="AQ483" s="161"/>
      <c r="AR483" s="162"/>
      <c r="AS483" s="161"/>
      <c r="AT483" s="165">
        <f>25.86036+58.69963</f>
        <v>84.559989999999999</v>
      </c>
      <c r="AU483" s="166"/>
      <c r="AV483" s="165"/>
      <c r="AW483" s="166"/>
      <c r="AX483" s="165"/>
      <c r="AY483" s="165"/>
      <c r="AZ483" s="165"/>
      <c r="BA483" s="165"/>
      <c r="BB483" s="166"/>
      <c r="BC483" s="165"/>
      <c r="BD483" s="165"/>
      <c r="BE483" s="165"/>
      <c r="BF483" s="165"/>
      <c r="BG483" s="165"/>
      <c r="BH483" s="165"/>
      <c r="BI483" s="165"/>
      <c r="BJ483" s="166"/>
      <c r="BK483" s="165"/>
      <c r="BL483" s="165"/>
      <c r="BM483" s="163"/>
      <c r="BN483" s="165"/>
      <c r="BO483" s="165"/>
      <c r="BP483" s="165"/>
      <c r="BQ483" s="167"/>
    </row>
    <row r="484" spans="1:270" ht="39.950000000000003" customHeight="1" outlineLevel="1" x14ac:dyDescent="0.3">
      <c r="A484" s="15" t="s">
        <v>613</v>
      </c>
      <c r="B484" s="12" t="s">
        <v>625</v>
      </c>
      <c r="C484" s="9" t="s">
        <v>1501</v>
      </c>
      <c r="D484" s="66" t="s">
        <v>626</v>
      </c>
      <c r="E484" s="158">
        <f t="shared" si="96"/>
        <v>424.32185999999996</v>
      </c>
      <c r="F484" s="159">
        <f t="shared" si="97"/>
        <v>51.875009999999996</v>
      </c>
      <c r="G484" s="160">
        <f t="shared" si="98"/>
        <v>372.44684999999998</v>
      </c>
      <c r="H484" s="166"/>
      <c r="I484" s="165"/>
      <c r="J484" s="160"/>
      <c r="K484" s="160"/>
      <c r="L484" s="166"/>
      <c r="M484" s="165"/>
      <c r="N484" s="165"/>
      <c r="O484" s="165"/>
      <c r="P484" s="160"/>
      <c r="Q484" s="166"/>
      <c r="R484" s="165"/>
      <c r="S484" s="165"/>
      <c r="T484" s="159"/>
      <c r="U484" s="160"/>
      <c r="V484" s="165"/>
      <c r="W484" s="165"/>
      <c r="X484" s="160"/>
      <c r="Y484" s="166"/>
      <c r="Z484" s="160"/>
      <c r="AA484" s="160"/>
      <c r="AB484" s="165"/>
      <c r="AC484" s="165"/>
      <c r="AD484" s="165"/>
      <c r="AE484" s="165"/>
      <c r="AF484" s="160"/>
      <c r="AG484" s="160"/>
      <c r="AH484" s="160"/>
      <c r="AI484" s="160"/>
      <c r="AJ484" s="161"/>
      <c r="AK484" s="162"/>
      <c r="AL484" s="165"/>
      <c r="AM484" s="166"/>
      <c r="AN484" s="165"/>
      <c r="AO484" s="160"/>
      <c r="AP484" s="162"/>
      <c r="AQ484" s="161"/>
      <c r="AR484" s="162"/>
      <c r="AS484" s="161"/>
      <c r="AT484" s="165"/>
      <c r="AU484" s="166"/>
      <c r="AV484" s="165"/>
      <c r="AW484" s="166">
        <f>8.12446+43.75055</f>
        <v>51.875009999999996</v>
      </c>
      <c r="AX484" s="165">
        <f>0.61989+2.84093+2.42679+13.06835</f>
        <v>18.955960000000001</v>
      </c>
      <c r="AY484" s="165"/>
      <c r="AZ484" s="165"/>
      <c r="BA484" s="165">
        <v>353.49088999999998</v>
      </c>
      <c r="BB484" s="166"/>
      <c r="BC484" s="165"/>
      <c r="BD484" s="165"/>
      <c r="BE484" s="170"/>
      <c r="BF484" s="170"/>
      <c r="BG484" s="170"/>
      <c r="BH484" s="165"/>
      <c r="BI484" s="165"/>
      <c r="BJ484" s="166"/>
      <c r="BK484" s="165"/>
      <c r="BL484" s="165"/>
      <c r="BM484" s="163"/>
      <c r="BN484" s="165"/>
      <c r="BO484" s="165"/>
      <c r="BP484" s="165"/>
      <c r="BQ484" s="167"/>
    </row>
    <row r="485" spans="1:270" s="34" customFormat="1" ht="39.950000000000003" customHeight="1" x14ac:dyDescent="0.3">
      <c r="A485" s="114" t="s">
        <v>632</v>
      </c>
      <c r="B485" s="115"/>
      <c r="C485" s="116" t="s">
        <v>80</v>
      </c>
      <c r="D485" s="117"/>
      <c r="E485" s="171">
        <f t="shared" ref="E485:AI485" si="99">SUBTOTAL(9,E466:E484)</f>
        <v>309466.16446000006</v>
      </c>
      <c r="F485" s="171">
        <f t="shared" si="99"/>
        <v>82292.462580000007</v>
      </c>
      <c r="G485" s="171">
        <f t="shared" si="99"/>
        <v>227173.70188000001</v>
      </c>
      <c r="H485" s="171">
        <f t="shared" si="99"/>
        <v>19406.174630000001</v>
      </c>
      <c r="I485" s="171">
        <f t="shared" si="99"/>
        <v>6468.7248800000007</v>
      </c>
      <c r="J485" s="171">
        <f t="shared" si="99"/>
        <v>7534.2</v>
      </c>
      <c r="K485" s="171">
        <f t="shared" si="99"/>
        <v>0</v>
      </c>
      <c r="L485" s="171">
        <f t="shared" si="99"/>
        <v>9318.9706900000001</v>
      </c>
      <c r="M485" s="171">
        <f t="shared" si="99"/>
        <v>14605.77728</v>
      </c>
      <c r="N485" s="171">
        <f t="shared" si="99"/>
        <v>0</v>
      </c>
      <c r="O485" s="171">
        <f>SUBTOTAL(9,O466:O484)</f>
        <v>2948.1400000000003</v>
      </c>
      <c r="P485" s="171">
        <f>SUBTOTAL(9,P466:P484)</f>
        <v>58.165179999999999</v>
      </c>
      <c r="Q485" s="171">
        <f t="shared" si="99"/>
        <v>29464.931250000001</v>
      </c>
      <c r="R485" s="171">
        <f t="shared" si="99"/>
        <v>9821.6437499999993</v>
      </c>
      <c r="S485" s="171">
        <f t="shared" si="99"/>
        <v>9885.5316800000001</v>
      </c>
      <c r="T485" s="171">
        <f>SUBTOTAL(9,T466:T484)</f>
        <v>1634.0510400000001</v>
      </c>
      <c r="U485" s="171">
        <f>SUBTOTAL(9,U466:U484)</f>
        <v>544.68367999999998</v>
      </c>
      <c r="V485" s="171">
        <f t="shared" si="99"/>
        <v>0</v>
      </c>
      <c r="W485" s="171">
        <f t="shared" si="99"/>
        <v>0</v>
      </c>
      <c r="X485" s="171">
        <f>SUBTOTAL(9,X466:X484)</f>
        <v>0</v>
      </c>
      <c r="Y485" s="171">
        <f t="shared" si="99"/>
        <v>14561.633099999999</v>
      </c>
      <c r="Z485" s="171">
        <f t="shared" si="99"/>
        <v>4853.8777</v>
      </c>
      <c r="AA485" s="171">
        <f t="shared" si="99"/>
        <v>66217.339120000004</v>
      </c>
      <c r="AB485" s="171">
        <f t="shared" si="99"/>
        <v>0</v>
      </c>
      <c r="AC485" s="171">
        <f t="shared" si="99"/>
        <v>0</v>
      </c>
      <c r="AD485" s="171">
        <f>SUBTOTAL(9,AD466:AD484)</f>
        <v>0</v>
      </c>
      <c r="AE485" s="171">
        <f t="shared" si="99"/>
        <v>0</v>
      </c>
      <c r="AF485" s="171">
        <f t="shared" si="99"/>
        <v>0</v>
      </c>
      <c r="AG485" s="171">
        <f t="shared" si="99"/>
        <v>0</v>
      </c>
      <c r="AH485" s="171">
        <f t="shared" si="99"/>
        <v>0</v>
      </c>
      <c r="AI485" s="171">
        <f t="shared" si="99"/>
        <v>2573.40409</v>
      </c>
      <c r="AJ485" s="171">
        <f t="shared" ref="AJ485:BQ485" si="100">SUBTOTAL(9,AJ466:AJ484)</f>
        <v>0</v>
      </c>
      <c r="AK485" s="171">
        <f t="shared" si="100"/>
        <v>0</v>
      </c>
      <c r="AL485" s="171">
        <f t="shared" si="100"/>
        <v>0</v>
      </c>
      <c r="AM485" s="171">
        <f>SUBTOTAL(9,AM466:AM484)</f>
        <v>5602.0740000000005</v>
      </c>
      <c r="AN485" s="171">
        <f>SUBTOTAL(9,AN466:AN484)</f>
        <v>294.846</v>
      </c>
      <c r="AO485" s="171">
        <f>SUBTOTAL(9,AO466:AO484)</f>
        <v>0</v>
      </c>
      <c r="AP485" s="171">
        <f t="shared" si="100"/>
        <v>0</v>
      </c>
      <c r="AQ485" s="171">
        <f t="shared" si="100"/>
        <v>0</v>
      </c>
      <c r="AR485" s="171">
        <f t="shared" si="100"/>
        <v>0</v>
      </c>
      <c r="AS485" s="171">
        <f t="shared" si="100"/>
        <v>0</v>
      </c>
      <c r="AT485" s="171">
        <f>SUBTOTAL(9,AT466:AT484)</f>
        <v>7201.6634299999987</v>
      </c>
      <c r="AU485" s="171">
        <f t="shared" si="100"/>
        <v>0</v>
      </c>
      <c r="AV485" s="171">
        <f t="shared" si="100"/>
        <v>0</v>
      </c>
      <c r="AW485" s="171">
        <f t="shared" si="100"/>
        <v>2304.6278700000003</v>
      </c>
      <c r="AX485" s="171">
        <f t="shared" si="100"/>
        <v>902.24766999999997</v>
      </c>
      <c r="AY485" s="171">
        <f t="shared" si="100"/>
        <v>887.87154999999996</v>
      </c>
      <c r="AZ485" s="171">
        <f t="shared" si="100"/>
        <v>0</v>
      </c>
      <c r="BA485" s="171">
        <f t="shared" si="100"/>
        <v>12735.25714</v>
      </c>
      <c r="BB485" s="171">
        <f t="shared" si="100"/>
        <v>0</v>
      </c>
      <c r="BC485" s="171">
        <f t="shared" si="100"/>
        <v>0</v>
      </c>
      <c r="BD485" s="171">
        <f t="shared" si="100"/>
        <v>0</v>
      </c>
      <c r="BE485" s="171">
        <f t="shared" si="100"/>
        <v>20790.28268</v>
      </c>
      <c r="BF485" s="171">
        <f t="shared" si="100"/>
        <v>49579.588730000003</v>
      </c>
      <c r="BG485" s="171">
        <f t="shared" si="100"/>
        <v>4389.6902300000002</v>
      </c>
      <c r="BH485" s="171">
        <f t="shared" si="100"/>
        <v>0</v>
      </c>
      <c r="BI485" s="171">
        <f t="shared" si="100"/>
        <v>0</v>
      </c>
      <c r="BJ485" s="171">
        <f t="shared" si="100"/>
        <v>0</v>
      </c>
      <c r="BK485" s="171">
        <f t="shared" si="100"/>
        <v>0</v>
      </c>
      <c r="BL485" s="171">
        <f t="shared" si="100"/>
        <v>0</v>
      </c>
      <c r="BM485" s="172">
        <f>SUBTOTAL(9,BM466:BM484)</f>
        <v>0</v>
      </c>
      <c r="BN485" s="171">
        <f t="shared" si="100"/>
        <v>23.599989999999998</v>
      </c>
      <c r="BO485" s="171">
        <f t="shared" si="100"/>
        <v>3851.2206200000001</v>
      </c>
      <c r="BP485" s="171">
        <f t="shared" si="100"/>
        <v>670.64648</v>
      </c>
      <c r="BQ485" s="172">
        <f t="shared" si="100"/>
        <v>335.3</v>
      </c>
      <c r="BR485" s="40"/>
      <c r="BS485" s="40"/>
      <c r="BT485" s="40"/>
      <c r="BU485" s="40"/>
      <c r="BV485" s="40"/>
      <c r="BW485" s="40"/>
      <c r="BX485" s="40"/>
      <c r="BY485" s="40"/>
      <c r="BZ485" s="40"/>
      <c r="CA485" s="40"/>
      <c r="CB485" s="40"/>
      <c r="CC485" s="40"/>
      <c r="CD485" s="40"/>
      <c r="CE485" s="40"/>
      <c r="CF485" s="40"/>
      <c r="CG485" s="40"/>
      <c r="CH485" s="40"/>
      <c r="CI485" s="40"/>
      <c r="CJ485" s="40"/>
      <c r="CK485" s="40"/>
      <c r="CL485" s="40"/>
      <c r="CM485" s="40"/>
      <c r="CN485" s="40"/>
      <c r="CO485" s="40"/>
      <c r="CP485" s="40"/>
      <c r="CQ485" s="40"/>
      <c r="CR485" s="40"/>
      <c r="CS485" s="40"/>
      <c r="CT485" s="40"/>
      <c r="CU485" s="40"/>
      <c r="CV485" s="40"/>
      <c r="CW485" s="40"/>
      <c r="CX485" s="40"/>
      <c r="CY485" s="40"/>
      <c r="CZ485" s="40"/>
      <c r="DA485" s="40"/>
      <c r="DB485" s="40"/>
      <c r="DC485" s="40"/>
      <c r="DD485" s="40"/>
      <c r="DE485" s="40"/>
      <c r="DF485" s="40"/>
      <c r="DG485" s="40"/>
      <c r="DH485" s="40"/>
      <c r="DI485" s="40"/>
      <c r="DJ485" s="40"/>
      <c r="DK485" s="40"/>
      <c r="DL485" s="40"/>
      <c r="DM485" s="40"/>
      <c r="DN485" s="40"/>
      <c r="DO485" s="40"/>
      <c r="DP485" s="40"/>
      <c r="DQ485" s="40"/>
      <c r="DR485" s="40"/>
      <c r="DS485" s="40"/>
      <c r="DT485" s="40"/>
      <c r="DU485" s="40"/>
      <c r="DV485" s="40"/>
      <c r="DW485" s="40"/>
      <c r="DX485" s="40"/>
      <c r="DY485" s="40"/>
      <c r="DZ485" s="40"/>
      <c r="EA485" s="40"/>
      <c r="EB485" s="40"/>
      <c r="EC485" s="40"/>
      <c r="ED485" s="40"/>
      <c r="EE485" s="40"/>
      <c r="EF485" s="40"/>
      <c r="EG485" s="40"/>
      <c r="EH485" s="40"/>
      <c r="EI485" s="40"/>
      <c r="EJ485" s="40"/>
      <c r="EK485" s="40"/>
      <c r="EL485" s="40"/>
      <c r="EM485" s="40"/>
      <c r="EN485" s="40"/>
      <c r="EO485" s="40"/>
      <c r="EP485" s="40"/>
      <c r="EQ485" s="40"/>
      <c r="ER485" s="40"/>
      <c r="ES485" s="40"/>
      <c r="ET485" s="40"/>
      <c r="EU485" s="40"/>
      <c r="EV485" s="40"/>
      <c r="EW485" s="40"/>
      <c r="EX485" s="40"/>
      <c r="EY485" s="40"/>
      <c r="EZ485" s="40"/>
      <c r="FA485" s="40"/>
      <c r="FB485" s="40"/>
      <c r="FC485" s="40"/>
      <c r="FD485" s="40"/>
      <c r="FE485" s="40"/>
      <c r="FF485" s="40"/>
      <c r="FG485" s="40"/>
      <c r="FH485" s="40"/>
      <c r="FI485" s="40"/>
      <c r="FJ485" s="40"/>
      <c r="FK485" s="40"/>
      <c r="FL485" s="40"/>
      <c r="FM485" s="40"/>
      <c r="FN485" s="40"/>
      <c r="FO485" s="40"/>
      <c r="FP485" s="40"/>
      <c r="FQ485" s="40"/>
      <c r="FR485" s="40"/>
      <c r="FS485" s="40"/>
      <c r="FT485" s="40"/>
      <c r="FU485" s="40"/>
      <c r="FV485" s="40"/>
      <c r="FW485" s="40"/>
      <c r="FX485" s="40"/>
      <c r="FY485" s="40"/>
      <c r="FZ485" s="40"/>
      <c r="GA485" s="40"/>
      <c r="GB485" s="40"/>
      <c r="GC485" s="40"/>
      <c r="GD485" s="40"/>
      <c r="GE485" s="40"/>
      <c r="GF485" s="40"/>
      <c r="GG485" s="40"/>
      <c r="GH485" s="40"/>
      <c r="GI485" s="40"/>
      <c r="GJ485" s="40"/>
      <c r="GK485" s="40"/>
      <c r="GL485" s="40"/>
      <c r="GM485" s="40"/>
      <c r="GN485" s="40"/>
      <c r="GO485" s="40"/>
      <c r="GP485" s="40"/>
      <c r="GQ485" s="40"/>
      <c r="GR485" s="40"/>
      <c r="GS485" s="40"/>
      <c r="GT485" s="40"/>
      <c r="GU485" s="40"/>
      <c r="GV485" s="40"/>
      <c r="GW485" s="40"/>
      <c r="GX485" s="40"/>
      <c r="GY485" s="40"/>
      <c r="GZ485" s="40"/>
      <c r="HA485" s="40"/>
      <c r="HB485" s="40"/>
      <c r="HC485" s="40"/>
      <c r="HD485" s="40"/>
      <c r="HE485" s="40"/>
      <c r="HF485" s="40"/>
      <c r="HG485" s="40"/>
      <c r="HH485" s="40"/>
      <c r="HI485" s="40"/>
      <c r="HJ485" s="40"/>
      <c r="HK485" s="40"/>
      <c r="HL485" s="40"/>
      <c r="HM485" s="40"/>
      <c r="HN485" s="40"/>
      <c r="HO485" s="40"/>
      <c r="HP485" s="40"/>
      <c r="HQ485" s="40"/>
      <c r="HR485" s="40"/>
      <c r="HS485" s="40"/>
      <c r="HT485" s="40"/>
      <c r="HU485" s="40"/>
      <c r="HV485" s="40"/>
      <c r="HW485" s="40"/>
      <c r="HX485" s="40"/>
      <c r="HY485" s="40"/>
      <c r="HZ485" s="40"/>
      <c r="IA485" s="40"/>
      <c r="IB485" s="40"/>
      <c r="IC485" s="40"/>
      <c r="ID485" s="40"/>
      <c r="IE485" s="40"/>
      <c r="IF485" s="40"/>
      <c r="IG485" s="40"/>
      <c r="IH485" s="40"/>
      <c r="II485" s="40"/>
      <c r="IJ485" s="40"/>
      <c r="IK485" s="40"/>
      <c r="IL485" s="40"/>
      <c r="IM485" s="40"/>
      <c r="IN485" s="40"/>
      <c r="IO485" s="40"/>
      <c r="IP485" s="40"/>
      <c r="IQ485" s="40"/>
      <c r="IR485" s="40"/>
      <c r="IS485" s="40"/>
      <c r="IT485" s="40"/>
      <c r="IU485" s="40"/>
      <c r="IV485" s="40"/>
      <c r="IW485" s="40"/>
      <c r="IX485" s="40"/>
      <c r="IY485" s="40"/>
      <c r="IZ485" s="40"/>
      <c r="JA485" s="40"/>
      <c r="JB485" s="40"/>
      <c r="JC485" s="40"/>
      <c r="JD485" s="40"/>
      <c r="JE485" s="40"/>
      <c r="JF485" s="40"/>
      <c r="JG485" s="40"/>
      <c r="JH485" s="40"/>
      <c r="JI485" s="40"/>
      <c r="JJ485" s="40"/>
    </row>
    <row r="486" spans="1:270" ht="39.950000000000003" customHeight="1" outlineLevel="1" x14ac:dyDescent="0.3">
      <c r="A486" s="15" t="s">
        <v>633</v>
      </c>
      <c r="B486" s="12" t="s">
        <v>645</v>
      </c>
      <c r="C486" s="9" t="s">
        <v>28</v>
      </c>
      <c r="D486" s="68">
        <v>242400789560</v>
      </c>
      <c r="E486" s="158">
        <f t="shared" ref="E486:E499" si="101">F486+G486</f>
        <v>39.303779999999996</v>
      </c>
      <c r="F486" s="159">
        <f t="shared" ref="F486:F499" si="102">H486+L486+Q486+Y486+T486+AK486+AP486+AM486+AR486+AU486+AW486+BB486+BJ486</f>
        <v>15.309279999999999</v>
      </c>
      <c r="G486" s="160">
        <f t="shared" ref="G486:G499" si="103">I486+J486+K486+M486+N486+R486+S486+V486+W486+AD486+O486+X486+Z486+AA486+AB486+AC486+AE486+AF486+P486+U486+AG486+AH486+AI486+AO486+AJ486+AL486+AQ486+AN486+AS486+AV486+AX486+AY486+AZ486+BA486+BC486+BD486+BE486+BF486+BG486+BH486+BI486+AT486+BK486+BL486+BN486+BO486+BP486+BQ486+BM486</f>
        <v>23.994499999999999</v>
      </c>
      <c r="H486" s="166"/>
      <c r="I486" s="165"/>
      <c r="J486" s="160"/>
      <c r="K486" s="160"/>
      <c r="L486" s="166">
        <v>15.309279999999999</v>
      </c>
      <c r="M486" s="165">
        <v>23.994499999999999</v>
      </c>
      <c r="N486" s="165"/>
      <c r="O486" s="165"/>
      <c r="P486" s="160"/>
      <c r="Q486" s="166"/>
      <c r="R486" s="165"/>
      <c r="S486" s="165"/>
      <c r="T486" s="159"/>
      <c r="U486" s="160"/>
      <c r="V486" s="165"/>
      <c r="W486" s="165"/>
      <c r="X486" s="160"/>
      <c r="Y486" s="166"/>
      <c r="Z486" s="160"/>
      <c r="AA486" s="160"/>
      <c r="AB486" s="165"/>
      <c r="AC486" s="165"/>
      <c r="AD486" s="165"/>
      <c r="AE486" s="165"/>
      <c r="AF486" s="160"/>
      <c r="AG486" s="160"/>
      <c r="AH486" s="160"/>
      <c r="AI486" s="160"/>
      <c r="AJ486" s="161"/>
      <c r="AK486" s="162"/>
      <c r="AL486" s="165"/>
      <c r="AM486" s="166"/>
      <c r="AN486" s="165"/>
      <c r="AO486" s="160"/>
      <c r="AP486" s="162"/>
      <c r="AQ486" s="161"/>
      <c r="AR486" s="162"/>
      <c r="AS486" s="161"/>
      <c r="AT486" s="165"/>
      <c r="AU486" s="166"/>
      <c r="AV486" s="165"/>
      <c r="AW486" s="166"/>
      <c r="AX486" s="165"/>
      <c r="AY486" s="165"/>
      <c r="AZ486" s="165"/>
      <c r="BA486" s="165"/>
      <c r="BB486" s="166"/>
      <c r="BC486" s="165"/>
      <c r="BD486" s="165"/>
      <c r="BE486" s="165"/>
      <c r="BF486" s="165"/>
      <c r="BG486" s="165"/>
      <c r="BH486" s="165"/>
      <c r="BI486" s="165"/>
      <c r="BJ486" s="166"/>
      <c r="BK486" s="165"/>
      <c r="BL486" s="165"/>
      <c r="BM486" s="163"/>
      <c r="BN486" s="165"/>
      <c r="BO486" s="165"/>
      <c r="BP486" s="165"/>
      <c r="BQ486" s="167"/>
    </row>
    <row r="487" spans="1:270" ht="39.950000000000003" customHeight="1" outlineLevel="1" x14ac:dyDescent="0.3">
      <c r="A487" s="15" t="s">
        <v>633</v>
      </c>
      <c r="B487" s="12" t="s">
        <v>640</v>
      </c>
      <c r="C487" s="9" t="s">
        <v>30</v>
      </c>
      <c r="D487" s="68">
        <v>242401153190</v>
      </c>
      <c r="E487" s="158">
        <f t="shared" si="101"/>
        <v>46.458060000000003</v>
      </c>
      <c r="F487" s="159">
        <f t="shared" si="102"/>
        <v>18.095960000000002</v>
      </c>
      <c r="G487" s="160">
        <f t="shared" si="103"/>
        <v>28.362100000000002</v>
      </c>
      <c r="H487" s="166"/>
      <c r="I487" s="165"/>
      <c r="J487" s="160"/>
      <c r="K487" s="160"/>
      <c r="L487" s="166">
        <v>18.095960000000002</v>
      </c>
      <c r="M487" s="165">
        <v>28.362100000000002</v>
      </c>
      <c r="N487" s="165"/>
      <c r="O487" s="165"/>
      <c r="P487" s="160"/>
      <c r="Q487" s="166"/>
      <c r="R487" s="165"/>
      <c r="S487" s="165"/>
      <c r="T487" s="159"/>
      <c r="U487" s="160"/>
      <c r="V487" s="165"/>
      <c r="W487" s="165"/>
      <c r="X487" s="160"/>
      <c r="Y487" s="166"/>
      <c r="Z487" s="160"/>
      <c r="AA487" s="160"/>
      <c r="AB487" s="165"/>
      <c r="AC487" s="165"/>
      <c r="AD487" s="165"/>
      <c r="AE487" s="165"/>
      <c r="AF487" s="160"/>
      <c r="AG487" s="160"/>
      <c r="AH487" s="160"/>
      <c r="AI487" s="160"/>
      <c r="AJ487" s="161"/>
      <c r="AK487" s="162"/>
      <c r="AL487" s="165"/>
      <c r="AM487" s="166"/>
      <c r="AN487" s="165"/>
      <c r="AO487" s="160"/>
      <c r="AP487" s="162"/>
      <c r="AQ487" s="161"/>
      <c r="AR487" s="162"/>
      <c r="AS487" s="161"/>
      <c r="AT487" s="165"/>
      <c r="AU487" s="166"/>
      <c r="AV487" s="165"/>
      <c r="AW487" s="166"/>
      <c r="AX487" s="165"/>
      <c r="AY487" s="165"/>
      <c r="AZ487" s="165"/>
      <c r="BA487" s="165"/>
      <c r="BB487" s="166"/>
      <c r="BC487" s="165"/>
      <c r="BD487" s="165"/>
      <c r="BE487" s="165"/>
      <c r="BF487" s="165"/>
      <c r="BG487" s="165"/>
      <c r="BH487" s="165"/>
      <c r="BI487" s="165"/>
      <c r="BJ487" s="166"/>
      <c r="BK487" s="165"/>
      <c r="BL487" s="165"/>
      <c r="BM487" s="163"/>
      <c r="BN487" s="165"/>
      <c r="BO487" s="165"/>
      <c r="BP487" s="165"/>
      <c r="BQ487" s="167"/>
    </row>
    <row r="488" spans="1:270" ht="39.950000000000003" customHeight="1" outlineLevel="1" x14ac:dyDescent="0.3">
      <c r="A488" s="15" t="s">
        <v>633</v>
      </c>
      <c r="B488" s="12" t="s">
        <v>1492</v>
      </c>
      <c r="C488" s="9" t="s">
        <v>30</v>
      </c>
      <c r="D488" s="9" t="s">
        <v>1493</v>
      </c>
      <c r="E488" s="158">
        <f t="shared" si="101"/>
        <v>2688.12</v>
      </c>
      <c r="F488" s="159">
        <f t="shared" si="102"/>
        <v>0</v>
      </c>
      <c r="G488" s="160">
        <f t="shared" si="103"/>
        <v>2688.12</v>
      </c>
      <c r="H488" s="166"/>
      <c r="I488" s="165"/>
      <c r="J488" s="160"/>
      <c r="K488" s="160"/>
      <c r="L488" s="166"/>
      <c r="M488" s="165"/>
      <c r="N488" s="165"/>
      <c r="O488" s="165"/>
      <c r="P488" s="160"/>
      <c r="Q488" s="166"/>
      <c r="R488" s="165"/>
      <c r="S488" s="165">
        <v>2688.12</v>
      </c>
      <c r="T488" s="159"/>
      <c r="U488" s="160"/>
      <c r="V488" s="165"/>
      <c r="W488" s="165"/>
      <c r="X488" s="160"/>
      <c r="Y488" s="166"/>
      <c r="Z488" s="160"/>
      <c r="AA488" s="160"/>
      <c r="AB488" s="165"/>
      <c r="AC488" s="165"/>
      <c r="AD488" s="165"/>
      <c r="AE488" s="165"/>
      <c r="AF488" s="160"/>
      <c r="AG488" s="160"/>
      <c r="AH488" s="160"/>
      <c r="AI488" s="160"/>
      <c r="AJ488" s="161"/>
      <c r="AK488" s="162"/>
      <c r="AL488" s="165"/>
      <c r="AM488" s="166"/>
      <c r="AN488" s="165"/>
      <c r="AO488" s="160"/>
      <c r="AP488" s="162"/>
      <c r="AQ488" s="161"/>
      <c r="AR488" s="162"/>
      <c r="AS488" s="161"/>
      <c r="AT488" s="165"/>
      <c r="AU488" s="166"/>
      <c r="AV488" s="165"/>
      <c r="AW488" s="166"/>
      <c r="AX488" s="165"/>
      <c r="AY488" s="165"/>
      <c r="AZ488" s="165"/>
      <c r="BA488" s="165"/>
      <c r="BB488" s="166"/>
      <c r="BC488" s="165"/>
      <c r="BD488" s="165"/>
      <c r="BE488" s="165"/>
      <c r="BF488" s="165"/>
      <c r="BG488" s="165"/>
      <c r="BH488" s="165"/>
      <c r="BI488" s="165"/>
      <c r="BJ488" s="166"/>
      <c r="BK488" s="165"/>
      <c r="BL488" s="165"/>
      <c r="BM488" s="163"/>
      <c r="BN488" s="165"/>
      <c r="BO488" s="165"/>
      <c r="BP488" s="165"/>
      <c r="BQ488" s="167"/>
    </row>
    <row r="489" spans="1:270" ht="39.950000000000003" customHeight="1" outlineLevel="1" x14ac:dyDescent="0.3">
      <c r="A489" s="15" t="s">
        <v>633</v>
      </c>
      <c r="B489" s="12" t="s">
        <v>638</v>
      </c>
      <c r="C489" s="21" t="s">
        <v>30</v>
      </c>
      <c r="D489" s="67" t="s">
        <v>639</v>
      </c>
      <c r="E489" s="158">
        <f t="shared" si="101"/>
        <v>1196.8063500000001</v>
      </c>
      <c r="F489" s="159">
        <f t="shared" si="102"/>
        <v>13.654859999999999</v>
      </c>
      <c r="G489" s="160">
        <f t="shared" si="103"/>
        <v>1183.15149</v>
      </c>
      <c r="H489" s="166"/>
      <c r="I489" s="165"/>
      <c r="J489" s="160">
        <v>9.75</v>
      </c>
      <c r="K489" s="160"/>
      <c r="L489" s="166">
        <v>13.654859999999999</v>
      </c>
      <c r="M489" s="165">
        <v>21.401489999999999</v>
      </c>
      <c r="N489" s="165"/>
      <c r="O489" s="165"/>
      <c r="P489" s="160"/>
      <c r="Q489" s="166"/>
      <c r="R489" s="165"/>
      <c r="S489" s="165"/>
      <c r="T489" s="159"/>
      <c r="U489" s="160"/>
      <c r="V489" s="165"/>
      <c r="W489" s="165"/>
      <c r="X489" s="160"/>
      <c r="Y489" s="166"/>
      <c r="Z489" s="160"/>
      <c r="AA489" s="160"/>
      <c r="AB489" s="165"/>
      <c r="AC489" s="165"/>
      <c r="AD489" s="165"/>
      <c r="AE489" s="165"/>
      <c r="AF489" s="160"/>
      <c r="AG489" s="160"/>
      <c r="AH489" s="160"/>
      <c r="AI489" s="160"/>
      <c r="AJ489" s="161"/>
      <c r="AK489" s="162"/>
      <c r="AL489" s="165"/>
      <c r="AM489" s="166"/>
      <c r="AN489" s="165"/>
      <c r="AO489" s="160"/>
      <c r="AP489" s="162"/>
      <c r="AQ489" s="161"/>
      <c r="AR489" s="162"/>
      <c r="AS489" s="161"/>
      <c r="AT489" s="165"/>
      <c r="AU489" s="166"/>
      <c r="AV489" s="165"/>
      <c r="AW489" s="166"/>
      <c r="AX489" s="165"/>
      <c r="AY489" s="165"/>
      <c r="AZ489" s="165"/>
      <c r="BA489" s="165"/>
      <c r="BB489" s="166"/>
      <c r="BC489" s="165"/>
      <c r="BD489" s="165"/>
      <c r="BE489" s="165"/>
      <c r="BF489" s="165"/>
      <c r="BG489" s="165"/>
      <c r="BH489" s="165"/>
      <c r="BI489" s="165"/>
      <c r="BJ489" s="166"/>
      <c r="BK489" s="165"/>
      <c r="BL489" s="165"/>
      <c r="BM489" s="163">
        <v>1152</v>
      </c>
      <c r="BN489" s="165"/>
      <c r="BO489" s="165"/>
      <c r="BP489" s="165"/>
      <c r="BQ489" s="167"/>
    </row>
    <row r="490" spans="1:270" ht="39.950000000000003" customHeight="1" outlineLevel="1" x14ac:dyDescent="0.3">
      <c r="A490" s="15" t="s">
        <v>633</v>
      </c>
      <c r="B490" s="12" t="s">
        <v>641</v>
      </c>
      <c r="C490" s="9" t="s">
        <v>30</v>
      </c>
      <c r="D490" s="73">
        <v>246006158564</v>
      </c>
      <c r="E490" s="158">
        <f t="shared" si="101"/>
        <v>5655.7220099999995</v>
      </c>
      <c r="F490" s="159">
        <f t="shared" si="102"/>
        <v>232.62809000000001</v>
      </c>
      <c r="G490" s="160">
        <f t="shared" si="103"/>
        <v>5423.0939199999993</v>
      </c>
      <c r="H490" s="166"/>
      <c r="I490" s="165"/>
      <c r="J490" s="160"/>
      <c r="K490" s="160"/>
      <c r="L490" s="166">
        <v>25.572800000000001</v>
      </c>
      <c r="M490" s="165">
        <v>40.080669999999998</v>
      </c>
      <c r="N490" s="165"/>
      <c r="O490" s="165"/>
      <c r="P490" s="160"/>
      <c r="Q490" s="166"/>
      <c r="R490" s="165"/>
      <c r="S490" s="165"/>
      <c r="T490" s="159"/>
      <c r="U490" s="160"/>
      <c r="V490" s="165"/>
      <c r="W490" s="165"/>
      <c r="X490" s="160"/>
      <c r="Y490" s="166">
        <v>207.05529000000001</v>
      </c>
      <c r="Z490" s="160">
        <v>69.018429999999995</v>
      </c>
      <c r="AA490" s="160">
        <v>1053.4124899999999</v>
      </c>
      <c r="AB490" s="165"/>
      <c r="AC490" s="165"/>
      <c r="AD490" s="165"/>
      <c r="AE490" s="165"/>
      <c r="AF490" s="160"/>
      <c r="AG490" s="160"/>
      <c r="AH490" s="160"/>
      <c r="AI490" s="160"/>
      <c r="AJ490" s="161"/>
      <c r="AK490" s="162"/>
      <c r="AL490" s="165"/>
      <c r="AM490" s="166"/>
      <c r="AN490" s="165"/>
      <c r="AO490" s="160"/>
      <c r="AP490" s="162"/>
      <c r="AQ490" s="161"/>
      <c r="AR490" s="162"/>
      <c r="AS490" s="161"/>
      <c r="AT490" s="165"/>
      <c r="AU490" s="166"/>
      <c r="AV490" s="165"/>
      <c r="AW490" s="166"/>
      <c r="AX490" s="165"/>
      <c r="AY490" s="165"/>
      <c r="AZ490" s="165"/>
      <c r="BA490" s="165"/>
      <c r="BB490" s="166"/>
      <c r="BC490" s="165"/>
      <c r="BD490" s="165"/>
      <c r="BE490" s="165">
        <v>19.546099999999999</v>
      </c>
      <c r="BF490" s="165">
        <v>749.25</v>
      </c>
      <c r="BG490" s="165"/>
      <c r="BH490" s="165">
        <v>3162.652</v>
      </c>
      <c r="BI490" s="165"/>
      <c r="BJ490" s="166"/>
      <c r="BK490" s="165"/>
      <c r="BL490" s="165"/>
      <c r="BM490" s="163"/>
      <c r="BN490" s="165"/>
      <c r="BO490" s="165">
        <v>329.13423</v>
      </c>
      <c r="BP490" s="165"/>
      <c r="BQ490" s="167"/>
    </row>
    <row r="491" spans="1:270" ht="39.950000000000003" customHeight="1" outlineLevel="1" x14ac:dyDescent="0.3">
      <c r="A491" s="12" t="s">
        <v>633</v>
      </c>
      <c r="B491" s="10" t="s">
        <v>642</v>
      </c>
      <c r="C491" s="9" t="s">
        <v>30</v>
      </c>
      <c r="D491" s="68">
        <v>242401591796</v>
      </c>
      <c r="E491" s="158">
        <f t="shared" si="101"/>
        <v>155.63905</v>
      </c>
      <c r="F491" s="159">
        <f t="shared" si="102"/>
        <v>107.98273999999999</v>
      </c>
      <c r="G491" s="160">
        <f t="shared" si="103"/>
        <v>47.656310000000005</v>
      </c>
      <c r="H491" s="166">
        <v>98.531999999999996</v>
      </c>
      <c r="I491" s="165">
        <v>32.844000000000001</v>
      </c>
      <c r="J491" s="160"/>
      <c r="K491" s="160"/>
      <c r="L491" s="166">
        <v>9.4507399999999997</v>
      </c>
      <c r="M491" s="165">
        <v>14.81231</v>
      </c>
      <c r="N491" s="165"/>
      <c r="O491" s="165"/>
      <c r="P491" s="160"/>
      <c r="Q491" s="166"/>
      <c r="R491" s="165"/>
      <c r="S491" s="165"/>
      <c r="T491" s="159"/>
      <c r="U491" s="160"/>
      <c r="V491" s="165"/>
      <c r="W491" s="165"/>
      <c r="X491" s="160"/>
      <c r="Y491" s="166"/>
      <c r="Z491" s="160"/>
      <c r="AA491" s="160"/>
      <c r="AB491" s="165"/>
      <c r="AC491" s="165"/>
      <c r="AD491" s="165"/>
      <c r="AE491" s="165"/>
      <c r="AF491" s="160"/>
      <c r="AG491" s="160"/>
      <c r="AH491" s="160"/>
      <c r="AI491" s="160"/>
      <c r="AJ491" s="161"/>
      <c r="AK491" s="162"/>
      <c r="AL491" s="165"/>
      <c r="AM491" s="166"/>
      <c r="AN491" s="165"/>
      <c r="AO491" s="160"/>
      <c r="AP491" s="162"/>
      <c r="AQ491" s="161"/>
      <c r="AR491" s="162"/>
      <c r="AS491" s="161"/>
      <c r="AT491" s="165"/>
      <c r="AU491" s="166"/>
      <c r="AV491" s="165"/>
      <c r="AW491" s="166"/>
      <c r="AX491" s="165"/>
      <c r="AY491" s="165"/>
      <c r="AZ491" s="165"/>
      <c r="BA491" s="165"/>
      <c r="BB491" s="166"/>
      <c r="BC491" s="165"/>
      <c r="BD491" s="165"/>
      <c r="BE491" s="165"/>
      <c r="BF491" s="165"/>
      <c r="BG491" s="165"/>
      <c r="BH491" s="165"/>
      <c r="BI491" s="165"/>
      <c r="BJ491" s="166"/>
      <c r="BK491" s="165"/>
      <c r="BL491" s="165"/>
      <c r="BM491" s="163"/>
      <c r="BN491" s="165"/>
      <c r="BO491" s="165"/>
      <c r="BP491" s="165"/>
      <c r="BQ491" s="167"/>
    </row>
    <row r="492" spans="1:270" ht="39.950000000000003" customHeight="1" outlineLevel="1" x14ac:dyDescent="0.3">
      <c r="A492" s="15" t="s">
        <v>633</v>
      </c>
      <c r="B492" s="12" t="s">
        <v>1137</v>
      </c>
      <c r="C492" s="9" t="s">
        <v>30</v>
      </c>
      <c r="D492" s="9" t="s">
        <v>1215</v>
      </c>
      <c r="E492" s="158">
        <f t="shared" si="101"/>
        <v>42.42136</v>
      </c>
      <c r="F492" s="159">
        <f t="shared" si="102"/>
        <v>16.523620000000001</v>
      </c>
      <c r="G492" s="160">
        <f t="shared" si="103"/>
        <v>25.897739999999999</v>
      </c>
      <c r="H492" s="166"/>
      <c r="I492" s="165"/>
      <c r="J492" s="160"/>
      <c r="K492" s="160"/>
      <c r="L492" s="166">
        <v>16.523620000000001</v>
      </c>
      <c r="M492" s="165">
        <v>25.897739999999999</v>
      </c>
      <c r="N492" s="165"/>
      <c r="O492" s="165"/>
      <c r="P492" s="160"/>
      <c r="Q492" s="166"/>
      <c r="R492" s="165"/>
      <c r="S492" s="165"/>
      <c r="T492" s="159"/>
      <c r="U492" s="160"/>
      <c r="V492" s="165"/>
      <c r="W492" s="165"/>
      <c r="X492" s="160"/>
      <c r="Y492" s="166"/>
      <c r="Z492" s="160"/>
      <c r="AA492" s="160"/>
      <c r="AB492" s="165"/>
      <c r="AC492" s="165"/>
      <c r="AD492" s="165"/>
      <c r="AE492" s="165"/>
      <c r="AF492" s="160"/>
      <c r="AG492" s="160"/>
      <c r="AH492" s="160"/>
      <c r="AI492" s="160"/>
      <c r="AJ492" s="161"/>
      <c r="AK492" s="162"/>
      <c r="AL492" s="165"/>
      <c r="AM492" s="166"/>
      <c r="AN492" s="165"/>
      <c r="AO492" s="160"/>
      <c r="AP492" s="162"/>
      <c r="AQ492" s="161"/>
      <c r="AR492" s="162"/>
      <c r="AS492" s="161"/>
      <c r="AT492" s="165"/>
      <c r="AU492" s="166"/>
      <c r="AV492" s="165"/>
      <c r="AW492" s="166"/>
      <c r="AX492" s="165"/>
      <c r="AY492" s="165"/>
      <c r="AZ492" s="165"/>
      <c r="BA492" s="165"/>
      <c r="BB492" s="166"/>
      <c r="BC492" s="165"/>
      <c r="BD492" s="165"/>
      <c r="BE492" s="165"/>
      <c r="BF492" s="165"/>
      <c r="BG492" s="165"/>
      <c r="BH492" s="165"/>
      <c r="BI492" s="165"/>
      <c r="BJ492" s="166"/>
      <c r="BK492" s="165"/>
      <c r="BL492" s="165"/>
      <c r="BM492" s="163"/>
      <c r="BN492" s="165"/>
      <c r="BO492" s="165"/>
      <c r="BP492" s="165"/>
      <c r="BQ492" s="167"/>
    </row>
    <row r="493" spans="1:270" ht="39.950000000000003" customHeight="1" outlineLevel="1" x14ac:dyDescent="0.3">
      <c r="A493" s="15" t="s">
        <v>633</v>
      </c>
      <c r="B493" s="12" t="s">
        <v>644</v>
      </c>
      <c r="C493" s="9" t="s">
        <v>30</v>
      </c>
      <c r="D493" s="9" t="s">
        <v>1214</v>
      </c>
      <c r="E493" s="158">
        <f t="shared" si="101"/>
        <v>856.10308000000009</v>
      </c>
      <c r="F493" s="159">
        <f t="shared" si="102"/>
        <v>174.50377</v>
      </c>
      <c r="G493" s="160">
        <f t="shared" si="103"/>
        <v>681.59931000000006</v>
      </c>
      <c r="H493" s="166">
        <v>52.447499999999998</v>
      </c>
      <c r="I493" s="165">
        <v>17.482500000000002</v>
      </c>
      <c r="J493" s="160"/>
      <c r="K493" s="160"/>
      <c r="L493" s="166">
        <v>122.05627</v>
      </c>
      <c r="M493" s="165">
        <v>191.30081000000001</v>
      </c>
      <c r="N493" s="165"/>
      <c r="O493" s="165"/>
      <c r="P493" s="160"/>
      <c r="Q493" s="166"/>
      <c r="R493" s="165"/>
      <c r="S493" s="165"/>
      <c r="T493" s="159"/>
      <c r="U493" s="160"/>
      <c r="V493" s="165"/>
      <c r="W493" s="165"/>
      <c r="X493" s="160"/>
      <c r="Y493" s="166"/>
      <c r="Z493" s="160"/>
      <c r="AA493" s="160"/>
      <c r="AB493" s="165"/>
      <c r="AC493" s="165"/>
      <c r="AD493" s="165"/>
      <c r="AE493" s="165"/>
      <c r="AF493" s="160"/>
      <c r="AG493" s="160"/>
      <c r="AH493" s="160"/>
      <c r="AI493" s="160"/>
      <c r="AJ493" s="161"/>
      <c r="AK493" s="162"/>
      <c r="AL493" s="165"/>
      <c r="AM493" s="166"/>
      <c r="AN493" s="165"/>
      <c r="AO493" s="160"/>
      <c r="AP493" s="162"/>
      <c r="AQ493" s="161"/>
      <c r="AR493" s="162"/>
      <c r="AS493" s="161"/>
      <c r="AT493" s="165"/>
      <c r="AU493" s="166"/>
      <c r="AV493" s="165"/>
      <c r="AW493" s="166"/>
      <c r="AX493" s="165"/>
      <c r="AY493" s="165"/>
      <c r="AZ493" s="165"/>
      <c r="BA493" s="165"/>
      <c r="BB493" s="166"/>
      <c r="BC493" s="165"/>
      <c r="BD493" s="165"/>
      <c r="BE493" s="165"/>
      <c r="BF493" s="165"/>
      <c r="BG493" s="165"/>
      <c r="BH493" s="165"/>
      <c r="BI493" s="165"/>
      <c r="BJ493" s="166"/>
      <c r="BK493" s="165"/>
      <c r="BL493" s="165"/>
      <c r="BM493" s="163"/>
      <c r="BN493" s="165"/>
      <c r="BO493" s="165">
        <v>472.81599999999997</v>
      </c>
      <c r="BP493" s="165"/>
      <c r="BQ493" s="167"/>
    </row>
    <row r="494" spans="1:270" ht="39.950000000000003" customHeight="1" outlineLevel="1" x14ac:dyDescent="0.3">
      <c r="A494" s="15" t="s">
        <v>633</v>
      </c>
      <c r="B494" s="12" t="s">
        <v>643</v>
      </c>
      <c r="C494" s="9" t="s">
        <v>30</v>
      </c>
      <c r="D494" s="9" t="s">
        <v>1213</v>
      </c>
      <c r="E494" s="158">
        <f t="shared" si="101"/>
        <v>906.51277000000005</v>
      </c>
      <c r="F494" s="159">
        <f t="shared" si="102"/>
        <v>119.39033000000001</v>
      </c>
      <c r="G494" s="160">
        <f t="shared" si="103"/>
        <v>787.12243999999998</v>
      </c>
      <c r="H494" s="166"/>
      <c r="I494" s="165"/>
      <c r="J494" s="160"/>
      <c r="K494" s="160"/>
      <c r="L494" s="166">
        <v>119.39033000000001</v>
      </c>
      <c r="M494" s="165">
        <v>187.12244000000001</v>
      </c>
      <c r="N494" s="165"/>
      <c r="O494" s="165"/>
      <c r="P494" s="160"/>
      <c r="Q494" s="166"/>
      <c r="R494" s="165"/>
      <c r="S494" s="165"/>
      <c r="T494" s="159"/>
      <c r="U494" s="160"/>
      <c r="V494" s="165"/>
      <c r="W494" s="165"/>
      <c r="X494" s="160"/>
      <c r="Y494" s="166"/>
      <c r="Z494" s="160"/>
      <c r="AA494" s="160"/>
      <c r="AB494" s="165"/>
      <c r="AC494" s="165"/>
      <c r="AD494" s="165"/>
      <c r="AE494" s="165"/>
      <c r="AF494" s="160"/>
      <c r="AG494" s="160"/>
      <c r="AH494" s="160"/>
      <c r="AI494" s="160"/>
      <c r="AJ494" s="161"/>
      <c r="AK494" s="162"/>
      <c r="AL494" s="165"/>
      <c r="AM494" s="166"/>
      <c r="AN494" s="165"/>
      <c r="AO494" s="160"/>
      <c r="AP494" s="162"/>
      <c r="AQ494" s="161"/>
      <c r="AR494" s="162"/>
      <c r="AS494" s="161"/>
      <c r="AT494" s="165"/>
      <c r="AU494" s="166"/>
      <c r="AV494" s="165"/>
      <c r="AW494" s="166"/>
      <c r="AX494" s="165"/>
      <c r="AY494" s="165"/>
      <c r="AZ494" s="165"/>
      <c r="BA494" s="165"/>
      <c r="BB494" s="166"/>
      <c r="BC494" s="165"/>
      <c r="BD494" s="165"/>
      <c r="BE494" s="165"/>
      <c r="BF494" s="165"/>
      <c r="BG494" s="165">
        <v>600</v>
      </c>
      <c r="BH494" s="165"/>
      <c r="BI494" s="165"/>
      <c r="BJ494" s="166"/>
      <c r="BK494" s="165"/>
      <c r="BL494" s="165"/>
      <c r="BM494" s="163"/>
      <c r="BN494" s="165"/>
      <c r="BO494" s="165"/>
      <c r="BP494" s="165"/>
      <c r="BQ494" s="167"/>
    </row>
    <row r="495" spans="1:270" ht="39.950000000000003" customHeight="1" outlineLevel="1" x14ac:dyDescent="0.3">
      <c r="A495" s="15" t="s">
        <v>633</v>
      </c>
      <c r="B495" s="12" t="s">
        <v>1561</v>
      </c>
      <c r="C495" s="9" t="s">
        <v>73</v>
      </c>
      <c r="D495" s="9" t="s">
        <v>1572</v>
      </c>
      <c r="E495" s="158">
        <f t="shared" si="101"/>
        <v>15.31743</v>
      </c>
      <c r="F495" s="159">
        <f t="shared" si="102"/>
        <v>0</v>
      </c>
      <c r="G495" s="160">
        <f t="shared" si="103"/>
        <v>15.31743</v>
      </c>
      <c r="H495" s="166"/>
      <c r="I495" s="165"/>
      <c r="J495" s="160"/>
      <c r="K495" s="160"/>
      <c r="L495" s="166"/>
      <c r="M495" s="165"/>
      <c r="N495" s="165"/>
      <c r="O495" s="165"/>
      <c r="P495" s="160"/>
      <c r="Q495" s="166"/>
      <c r="R495" s="165"/>
      <c r="S495" s="165"/>
      <c r="T495" s="159"/>
      <c r="U495" s="160"/>
      <c r="V495" s="165"/>
      <c r="W495" s="165"/>
      <c r="X495" s="160"/>
      <c r="Y495" s="166"/>
      <c r="Z495" s="160"/>
      <c r="AA495" s="160"/>
      <c r="AB495" s="165"/>
      <c r="AC495" s="165"/>
      <c r="AD495" s="165"/>
      <c r="AE495" s="165"/>
      <c r="AF495" s="160"/>
      <c r="AG495" s="160"/>
      <c r="AH495" s="160"/>
      <c r="AI495" s="160"/>
      <c r="AJ495" s="161"/>
      <c r="AK495" s="162"/>
      <c r="AL495" s="165"/>
      <c r="AM495" s="166"/>
      <c r="AN495" s="165"/>
      <c r="AO495" s="160"/>
      <c r="AP495" s="162"/>
      <c r="AQ495" s="161"/>
      <c r="AR495" s="162"/>
      <c r="AS495" s="161"/>
      <c r="AT495" s="165">
        <v>15.31743</v>
      </c>
      <c r="AU495" s="166"/>
      <c r="AV495" s="165"/>
      <c r="AW495" s="166"/>
      <c r="AX495" s="165"/>
      <c r="AY495" s="165"/>
      <c r="AZ495" s="165"/>
      <c r="BA495" s="165"/>
      <c r="BB495" s="166"/>
      <c r="BC495" s="165"/>
      <c r="BD495" s="165"/>
      <c r="BE495" s="165"/>
      <c r="BF495" s="165"/>
      <c r="BG495" s="165"/>
      <c r="BH495" s="165"/>
      <c r="BI495" s="165"/>
      <c r="BJ495" s="166"/>
      <c r="BK495" s="165"/>
      <c r="BL495" s="165"/>
      <c r="BM495" s="163"/>
      <c r="BN495" s="165"/>
      <c r="BO495" s="165"/>
      <c r="BP495" s="165"/>
      <c r="BQ495" s="167"/>
    </row>
    <row r="496" spans="1:270" ht="39.950000000000003" customHeight="1" outlineLevel="1" x14ac:dyDescent="0.3">
      <c r="A496" s="15" t="s">
        <v>633</v>
      </c>
      <c r="B496" s="12" t="s">
        <v>646</v>
      </c>
      <c r="C496" s="9" t="s">
        <v>73</v>
      </c>
      <c r="D496" s="66" t="s">
        <v>647</v>
      </c>
      <c r="E496" s="158">
        <f t="shared" si="101"/>
        <v>932.74183000000005</v>
      </c>
      <c r="F496" s="159">
        <f t="shared" si="102"/>
        <v>0</v>
      </c>
      <c r="G496" s="160">
        <f t="shared" si="103"/>
        <v>932.74183000000005</v>
      </c>
      <c r="H496" s="166"/>
      <c r="I496" s="165"/>
      <c r="J496" s="160"/>
      <c r="K496" s="160"/>
      <c r="L496" s="166"/>
      <c r="M496" s="165"/>
      <c r="N496" s="165"/>
      <c r="O496" s="165"/>
      <c r="P496" s="160"/>
      <c r="Q496" s="166"/>
      <c r="R496" s="165"/>
      <c r="S496" s="165"/>
      <c r="T496" s="159"/>
      <c r="U496" s="160"/>
      <c r="V496" s="165"/>
      <c r="W496" s="165"/>
      <c r="X496" s="160"/>
      <c r="Y496" s="166"/>
      <c r="Z496" s="160"/>
      <c r="AA496" s="160"/>
      <c r="AB496" s="165"/>
      <c r="AC496" s="165"/>
      <c r="AD496" s="165"/>
      <c r="AE496" s="165"/>
      <c r="AF496" s="160"/>
      <c r="AG496" s="160"/>
      <c r="AH496" s="160"/>
      <c r="AI496" s="160"/>
      <c r="AJ496" s="161"/>
      <c r="AK496" s="162"/>
      <c r="AL496" s="165"/>
      <c r="AM496" s="166"/>
      <c r="AN496" s="165"/>
      <c r="AO496" s="160"/>
      <c r="AP496" s="162"/>
      <c r="AQ496" s="161"/>
      <c r="AR496" s="162"/>
      <c r="AS496" s="161"/>
      <c r="AT496" s="165">
        <f>109.9147+556.047+35.2461+231.53403</f>
        <v>932.74183000000005</v>
      </c>
      <c r="AU496" s="166"/>
      <c r="AV496" s="165"/>
      <c r="AW496" s="166"/>
      <c r="AX496" s="165"/>
      <c r="AY496" s="165"/>
      <c r="AZ496" s="165"/>
      <c r="BA496" s="165"/>
      <c r="BB496" s="166"/>
      <c r="BC496" s="165"/>
      <c r="BD496" s="165"/>
      <c r="BE496" s="165"/>
      <c r="BF496" s="165"/>
      <c r="BG496" s="165"/>
      <c r="BH496" s="165"/>
      <c r="BI496" s="165"/>
      <c r="BJ496" s="166"/>
      <c r="BK496" s="165"/>
      <c r="BL496" s="165"/>
      <c r="BM496" s="163"/>
      <c r="BN496" s="165"/>
      <c r="BO496" s="165"/>
      <c r="BP496" s="165"/>
      <c r="BQ496" s="167"/>
    </row>
    <row r="497" spans="1:270" ht="39.950000000000003" customHeight="1" outlineLevel="1" x14ac:dyDescent="0.3">
      <c r="A497" s="15" t="s">
        <v>633</v>
      </c>
      <c r="B497" s="12" t="s">
        <v>634</v>
      </c>
      <c r="C497" s="9" t="s">
        <v>6</v>
      </c>
      <c r="D497" s="66" t="s">
        <v>635</v>
      </c>
      <c r="E497" s="158">
        <f t="shared" si="101"/>
        <v>10417.893480000001</v>
      </c>
      <c r="F497" s="159">
        <f t="shared" si="102"/>
        <v>2191.63175</v>
      </c>
      <c r="G497" s="160">
        <f t="shared" si="103"/>
        <v>8226.2617300000002</v>
      </c>
      <c r="H497" s="166">
        <v>102.94683999999999</v>
      </c>
      <c r="I497" s="165">
        <v>34.315600000000003</v>
      </c>
      <c r="J497" s="160"/>
      <c r="K497" s="160"/>
      <c r="L497" s="166">
        <v>540.59846000000005</v>
      </c>
      <c r="M497" s="165">
        <v>847.28893000000005</v>
      </c>
      <c r="N497" s="165"/>
      <c r="O497" s="165"/>
      <c r="P497" s="165"/>
      <c r="Q497" s="166"/>
      <c r="R497" s="165"/>
      <c r="S497" s="165"/>
      <c r="T497" s="166"/>
      <c r="U497" s="165"/>
      <c r="V497" s="165"/>
      <c r="W497" s="165"/>
      <c r="X497" s="160"/>
      <c r="Y497" s="166">
        <v>1215.20481</v>
      </c>
      <c r="Z497" s="165">
        <v>405.06826999999998</v>
      </c>
      <c r="AA497" s="160">
        <v>6394.0440600000002</v>
      </c>
      <c r="AB497" s="165"/>
      <c r="AC497" s="165"/>
      <c r="AD497" s="165"/>
      <c r="AE497" s="165"/>
      <c r="AF497" s="165"/>
      <c r="AG497" s="160"/>
      <c r="AH497" s="160"/>
      <c r="AI497" s="160"/>
      <c r="AJ497" s="161"/>
      <c r="AK497" s="162"/>
      <c r="AL497" s="165"/>
      <c r="AM497" s="166"/>
      <c r="AN497" s="165"/>
      <c r="AO497" s="160"/>
      <c r="AP497" s="162"/>
      <c r="AQ497" s="161"/>
      <c r="AR497" s="162"/>
      <c r="AS497" s="161"/>
      <c r="AT497" s="165"/>
      <c r="AU497" s="166"/>
      <c r="AV497" s="165"/>
      <c r="AW497" s="166">
        <v>332.88164</v>
      </c>
      <c r="AX497" s="165">
        <f>33.72049+99.43218</f>
        <v>133.15267</v>
      </c>
      <c r="AY497" s="165"/>
      <c r="AZ497" s="165"/>
      <c r="BA497" s="165"/>
      <c r="BB497" s="166"/>
      <c r="BC497" s="165"/>
      <c r="BD497" s="165"/>
      <c r="BE497" s="165">
        <v>306.49220000000003</v>
      </c>
      <c r="BF497" s="165"/>
      <c r="BG497" s="165">
        <v>105.9</v>
      </c>
      <c r="BH497" s="165"/>
      <c r="BI497" s="165"/>
      <c r="BJ497" s="166"/>
      <c r="BK497" s="165"/>
      <c r="BL497" s="165"/>
      <c r="BM497" s="163"/>
      <c r="BN497" s="165"/>
      <c r="BO497" s="165"/>
      <c r="BP497" s="165"/>
      <c r="BQ497" s="167"/>
    </row>
    <row r="498" spans="1:270" ht="39.950000000000003" customHeight="1" outlineLevel="1" x14ac:dyDescent="0.3">
      <c r="A498" s="15" t="s">
        <v>633</v>
      </c>
      <c r="B498" s="12" t="s">
        <v>636</v>
      </c>
      <c r="C498" s="9" t="s">
        <v>6</v>
      </c>
      <c r="D498" s="66" t="s">
        <v>637</v>
      </c>
      <c r="E498" s="158">
        <f t="shared" si="101"/>
        <v>92.169229999999999</v>
      </c>
      <c r="F498" s="159">
        <f t="shared" si="102"/>
        <v>35.901000000000003</v>
      </c>
      <c r="G498" s="160">
        <f t="shared" si="103"/>
        <v>56.268230000000003</v>
      </c>
      <c r="H498" s="166"/>
      <c r="I498" s="165"/>
      <c r="J498" s="160"/>
      <c r="K498" s="160"/>
      <c r="L498" s="166">
        <v>35.901000000000003</v>
      </c>
      <c r="M498" s="165">
        <v>56.268230000000003</v>
      </c>
      <c r="N498" s="165"/>
      <c r="O498" s="165"/>
      <c r="P498" s="160"/>
      <c r="Q498" s="166"/>
      <c r="R498" s="165"/>
      <c r="S498" s="165"/>
      <c r="T498" s="159"/>
      <c r="U498" s="160"/>
      <c r="V498" s="165"/>
      <c r="W498" s="165"/>
      <c r="X498" s="160"/>
      <c r="Y498" s="166"/>
      <c r="Z498" s="160"/>
      <c r="AA498" s="160"/>
      <c r="AB498" s="165"/>
      <c r="AC498" s="165"/>
      <c r="AD498" s="165"/>
      <c r="AE498" s="165"/>
      <c r="AF498" s="160"/>
      <c r="AG498" s="160"/>
      <c r="AH498" s="160"/>
      <c r="AI498" s="160"/>
      <c r="AJ498" s="161"/>
      <c r="AK498" s="162"/>
      <c r="AL498" s="165"/>
      <c r="AM498" s="166"/>
      <c r="AN498" s="165"/>
      <c r="AO498" s="160"/>
      <c r="AP498" s="162"/>
      <c r="AQ498" s="161"/>
      <c r="AR498" s="162"/>
      <c r="AS498" s="161"/>
      <c r="AT498" s="165"/>
      <c r="AU498" s="166"/>
      <c r="AV498" s="165"/>
      <c r="AW498" s="166"/>
      <c r="AX498" s="165"/>
      <c r="AY498" s="165"/>
      <c r="AZ498" s="165"/>
      <c r="BA498" s="165"/>
      <c r="BB498" s="166"/>
      <c r="BC498" s="165"/>
      <c r="BD498" s="165"/>
      <c r="BE498" s="165"/>
      <c r="BF498" s="165"/>
      <c r="BG498" s="165"/>
      <c r="BH498" s="165"/>
      <c r="BI498" s="165"/>
      <c r="BJ498" s="166"/>
      <c r="BK498" s="165"/>
      <c r="BL498" s="165"/>
      <c r="BM498" s="163"/>
      <c r="BN498" s="165"/>
      <c r="BO498" s="165"/>
      <c r="BP498" s="165"/>
      <c r="BQ498" s="167"/>
    </row>
    <row r="499" spans="1:270" ht="39.950000000000003" customHeight="1" outlineLevel="1" x14ac:dyDescent="0.3">
      <c r="A499" s="15" t="s">
        <v>633</v>
      </c>
      <c r="B499" s="12" t="s">
        <v>1390</v>
      </c>
      <c r="C499" s="9" t="s">
        <v>6</v>
      </c>
      <c r="D499" s="66">
        <v>2424007814</v>
      </c>
      <c r="E499" s="158">
        <f t="shared" si="101"/>
        <v>13.457939999999999</v>
      </c>
      <c r="F499" s="159">
        <f t="shared" si="102"/>
        <v>5.2420299999999997</v>
      </c>
      <c r="G499" s="160">
        <f t="shared" si="103"/>
        <v>8.2159099999999992</v>
      </c>
      <c r="H499" s="166"/>
      <c r="I499" s="165"/>
      <c r="J499" s="160"/>
      <c r="K499" s="160"/>
      <c r="L499" s="166">
        <v>5.2420299999999997</v>
      </c>
      <c r="M499" s="165">
        <v>8.2159099999999992</v>
      </c>
      <c r="N499" s="165"/>
      <c r="O499" s="165"/>
      <c r="P499" s="160"/>
      <c r="Q499" s="166"/>
      <c r="R499" s="165"/>
      <c r="S499" s="165"/>
      <c r="T499" s="159"/>
      <c r="U499" s="160"/>
      <c r="V499" s="165"/>
      <c r="W499" s="165"/>
      <c r="X499" s="160"/>
      <c r="Y499" s="166"/>
      <c r="Z499" s="160"/>
      <c r="AA499" s="160"/>
      <c r="AB499" s="165"/>
      <c r="AC499" s="165"/>
      <c r="AD499" s="165"/>
      <c r="AE499" s="165"/>
      <c r="AF499" s="160"/>
      <c r="AG499" s="160"/>
      <c r="AH499" s="160"/>
      <c r="AI499" s="160"/>
      <c r="AJ499" s="161"/>
      <c r="AK499" s="162"/>
      <c r="AL499" s="165"/>
      <c r="AM499" s="166"/>
      <c r="AN499" s="165"/>
      <c r="AO499" s="160"/>
      <c r="AP499" s="162"/>
      <c r="AQ499" s="161"/>
      <c r="AR499" s="162"/>
      <c r="AS499" s="161"/>
      <c r="AT499" s="165"/>
      <c r="AU499" s="166"/>
      <c r="AV499" s="165"/>
      <c r="AW499" s="166"/>
      <c r="AX499" s="165"/>
      <c r="AY499" s="165"/>
      <c r="AZ499" s="165"/>
      <c r="BA499" s="165"/>
      <c r="BB499" s="166"/>
      <c r="BC499" s="165"/>
      <c r="BD499" s="165"/>
      <c r="BE499" s="165"/>
      <c r="BF499" s="165"/>
      <c r="BG499" s="165"/>
      <c r="BH499" s="165"/>
      <c r="BI499" s="165"/>
      <c r="BJ499" s="166"/>
      <c r="BK499" s="165"/>
      <c r="BL499" s="165"/>
      <c r="BM499" s="163"/>
      <c r="BN499" s="165"/>
      <c r="BO499" s="165"/>
      <c r="BP499" s="165"/>
      <c r="BQ499" s="167"/>
    </row>
    <row r="500" spans="1:270" s="34" customFormat="1" ht="39.950000000000003" customHeight="1" x14ac:dyDescent="0.3">
      <c r="A500" s="118" t="s">
        <v>648</v>
      </c>
      <c r="B500" s="115"/>
      <c r="C500" s="116" t="s">
        <v>80</v>
      </c>
      <c r="D500" s="117"/>
      <c r="E500" s="171">
        <f t="shared" ref="E500:AJ500" si="104">SUBTOTAL(9,E486:E499)</f>
        <v>23058.666369999999</v>
      </c>
      <c r="F500" s="171">
        <f t="shared" si="104"/>
        <v>2930.8634299999999</v>
      </c>
      <c r="G500" s="171">
        <f t="shared" si="104"/>
        <v>20127.802940000001</v>
      </c>
      <c r="H500" s="171">
        <f t="shared" si="104"/>
        <v>253.92633999999998</v>
      </c>
      <c r="I500" s="171">
        <f t="shared" si="104"/>
        <v>84.642099999999999</v>
      </c>
      <c r="J500" s="171">
        <f t="shared" si="104"/>
        <v>9.75</v>
      </c>
      <c r="K500" s="171">
        <f t="shared" si="104"/>
        <v>0</v>
      </c>
      <c r="L500" s="171">
        <f t="shared" si="104"/>
        <v>921.79534999999998</v>
      </c>
      <c r="M500" s="171">
        <f t="shared" si="104"/>
        <v>1444.74513</v>
      </c>
      <c r="N500" s="171">
        <f t="shared" si="104"/>
        <v>0</v>
      </c>
      <c r="O500" s="171">
        <f t="shared" si="104"/>
        <v>0</v>
      </c>
      <c r="P500" s="171">
        <f t="shared" si="104"/>
        <v>0</v>
      </c>
      <c r="Q500" s="171">
        <f t="shared" si="104"/>
        <v>0</v>
      </c>
      <c r="R500" s="171">
        <f t="shared" si="104"/>
        <v>0</v>
      </c>
      <c r="S500" s="171">
        <f t="shared" si="104"/>
        <v>2688.12</v>
      </c>
      <c r="T500" s="171">
        <f t="shared" si="104"/>
        <v>0</v>
      </c>
      <c r="U500" s="171">
        <f t="shared" si="104"/>
        <v>0</v>
      </c>
      <c r="V500" s="171">
        <f t="shared" si="104"/>
        <v>0</v>
      </c>
      <c r="W500" s="171">
        <f t="shared" si="104"/>
        <v>0</v>
      </c>
      <c r="X500" s="171">
        <f t="shared" si="104"/>
        <v>0</v>
      </c>
      <c r="Y500" s="171">
        <f t="shared" si="104"/>
        <v>1422.2601</v>
      </c>
      <c r="Z500" s="171">
        <f t="shared" si="104"/>
        <v>474.08669999999995</v>
      </c>
      <c r="AA500" s="171">
        <f t="shared" si="104"/>
        <v>7447.4565499999999</v>
      </c>
      <c r="AB500" s="171">
        <f t="shared" si="104"/>
        <v>0</v>
      </c>
      <c r="AC500" s="171">
        <f t="shared" si="104"/>
        <v>0</v>
      </c>
      <c r="AD500" s="171">
        <f t="shared" si="104"/>
        <v>0</v>
      </c>
      <c r="AE500" s="171">
        <f t="shared" si="104"/>
        <v>0</v>
      </c>
      <c r="AF500" s="171">
        <f t="shared" si="104"/>
        <v>0</v>
      </c>
      <c r="AG500" s="171">
        <f t="shared" si="104"/>
        <v>0</v>
      </c>
      <c r="AH500" s="171">
        <f t="shared" si="104"/>
        <v>0</v>
      </c>
      <c r="AI500" s="171">
        <f t="shared" si="104"/>
        <v>0</v>
      </c>
      <c r="AJ500" s="171">
        <f t="shared" si="104"/>
        <v>0</v>
      </c>
      <c r="AK500" s="171">
        <f t="shared" ref="AK500:BP500" si="105">SUBTOTAL(9,AK486:AK499)</f>
        <v>0</v>
      </c>
      <c r="AL500" s="171">
        <f t="shared" si="105"/>
        <v>0</v>
      </c>
      <c r="AM500" s="171">
        <f t="shared" si="105"/>
        <v>0</v>
      </c>
      <c r="AN500" s="171">
        <f t="shared" si="105"/>
        <v>0</v>
      </c>
      <c r="AO500" s="171">
        <f t="shared" si="105"/>
        <v>0</v>
      </c>
      <c r="AP500" s="171">
        <f t="shared" si="105"/>
        <v>0</v>
      </c>
      <c r="AQ500" s="171">
        <f t="shared" si="105"/>
        <v>0</v>
      </c>
      <c r="AR500" s="171">
        <f t="shared" si="105"/>
        <v>0</v>
      </c>
      <c r="AS500" s="171">
        <f t="shared" si="105"/>
        <v>0</v>
      </c>
      <c r="AT500" s="171">
        <f t="shared" si="105"/>
        <v>948.05925999999999</v>
      </c>
      <c r="AU500" s="171">
        <f t="shared" si="105"/>
        <v>0</v>
      </c>
      <c r="AV500" s="171">
        <f t="shared" si="105"/>
        <v>0</v>
      </c>
      <c r="AW500" s="171">
        <f t="shared" si="105"/>
        <v>332.88164</v>
      </c>
      <c r="AX500" s="171">
        <f t="shared" si="105"/>
        <v>133.15267</v>
      </c>
      <c r="AY500" s="171">
        <f t="shared" si="105"/>
        <v>0</v>
      </c>
      <c r="AZ500" s="171">
        <f t="shared" si="105"/>
        <v>0</v>
      </c>
      <c r="BA500" s="171">
        <f t="shared" si="105"/>
        <v>0</v>
      </c>
      <c r="BB500" s="171">
        <f t="shared" si="105"/>
        <v>0</v>
      </c>
      <c r="BC500" s="171">
        <f t="shared" si="105"/>
        <v>0</v>
      </c>
      <c r="BD500" s="171">
        <f t="shared" si="105"/>
        <v>0</v>
      </c>
      <c r="BE500" s="171">
        <f t="shared" si="105"/>
        <v>326.03830000000005</v>
      </c>
      <c r="BF500" s="171">
        <f t="shared" si="105"/>
        <v>749.25</v>
      </c>
      <c r="BG500" s="171">
        <f t="shared" si="105"/>
        <v>705.9</v>
      </c>
      <c r="BH500" s="171">
        <f t="shared" si="105"/>
        <v>3162.652</v>
      </c>
      <c r="BI500" s="171">
        <f t="shared" si="105"/>
        <v>0</v>
      </c>
      <c r="BJ500" s="171">
        <f t="shared" si="105"/>
        <v>0</v>
      </c>
      <c r="BK500" s="171">
        <f t="shared" si="105"/>
        <v>0</v>
      </c>
      <c r="BL500" s="171">
        <f t="shared" si="105"/>
        <v>0</v>
      </c>
      <c r="BM500" s="172">
        <f t="shared" si="105"/>
        <v>1152</v>
      </c>
      <c r="BN500" s="171">
        <f t="shared" si="105"/>
        <v>0</v>
      </c>
      <c r="BO500" s="171">
        <f t="shared" si="105"/>
        <v>801.95022999999992</v>
      </c>
      <c r="BP500" s="171">
        <f t="shared" si="105"/>
        <v>0</v>
      </c>
      <c r="BQ500" s="172">
        <f t="shared" ref="BQ500" si="106">SUBTOTAL(9,BQ486:BQ499)</f>
        <v>0</v>
      </c>
      <c r="BR500" s="40"/>
      <c r="BS500" s="40"/>
      <c r="BT500" s="40"/>
      <c r="BU500" s="40"/>
      <c r="BV500" s="40"/>
      <c r="BW500" s="40"/>
      <c r="BX500" s="40"/>
      <c r="BY500" s="40"/>
      <c r="BZ500" s="40"/>
      <c r="CA500" s="40"/>
      <c r="CB500" s="40"/>
      <c r="CC500" s="40"/>
      <c r="CD500" s="40"/>
      <c r="CE500" s="40"/>
      <c r="CF500" s="40"/>
      <c r="CG500" s="40"/>
      <c r="CH500" s="40"/>
      <c r="CI500" s="40"/>
      <c r="CJ500" s="40"/>
      <c r="CK500" s="40"/>
      <c r="CL500" s="40"/>
      <c r="CM500" s="40"/>
      <c r="CN500" s="40"/>
      <c r="CO500" s="40"/>
      <c r="CP500" s="40"/>
      <c r="CQ500" s="40"/>
      <c r="CR500" s="40"/>
      <c r="CS500" s="40"/>
      <c r="CT500" s="40"/>
      <c r="CU500" s="40"/>
      <c r="CV500" s="40"/>
      <c r="CW500" s="40"/>
      <c r="CX500" s="40"/>
      <c r="CY500" s="40"/>
      <c r="CZ500" s="40"/>
      <c r="DA500" s="40"/>
      <c r="DB500" s="40"/>
      <c r="DC500" s="40"/>
      <c r="DD500" s="40"/>
      <c r="DE500" s="40"/>
      <c r="DF500" s="40"/>
      <c r="DG500" s="40"/>
      <c r="DH500" s="40"/>
      <c r="DI500" s="40"/>
      <c r="DJ500" s="40"/>
      <c r="DK500" s="40"/>
      <c r="DL500" s="40"/>
      <c r="DM500" s="40"/>
      <c r="DN500" s="40"/>
      <c r="DO500" s="40"/>
      <c r="DP500" s="40"/>
      <c r="DQ500" s="40"/>
      <c r="DR500" s="40"/>
      <c r="DS500" s="40"/>
      <c r="DT500" s="40"/>
      <c r="DU500" s="40"/>
      <c r="DV500" s="40"/>
      <c r="DW500" s="40"/>
      <c r="DX500" s="40"/>
      <c r="DY500" s="40"/>
      <c r="DZ500" s="40"/>
      <c r="EA500" s="40"/>
      <c r="EB500" s="40"/>
      <c r="EC500" s="40"/>
      <c r="ED500" s="40"/>
      <c r="EE500" s="40"/>
      <c r="EF500" s="40"/>
      <c r="EG500" s="40"/>
      <c r="EH500" s="40"/>
      <c r="EI500" s="40"/>
      <c r="EJ500" s="40"/>
      <c r="EK500" s="40"/>
      <c r="EL500" s="40"/>
      <c r="EM500" s="40"/>
      <c r="EN500" s="40"/>
      <c r="EO500" s="40"/>
      <c r="EP500" s="40"/>
      <c r="EQ500" s="40"/>
      <c r="ER500" s="40"/>
      <c r="ES500" s="40"/>
      <c r="ET500" s="40"/>
      <c r="EU500" s="40"/>
      <c r="EV500" s="40"/>
      <c r="EW500" s="40"/>
      <c r="EX500" s="40"/>
      <c r="EY500" s="40"/>
      <c r="EZ500" s="40"/>
      <c r="FA500" s="40"/>
      <c r="FB500" s="40"/>
      <c r="FC500" s="40"/>
      <c r="FD500" s="40"/>
      <c r="FE500" s="40"/>
      <c r="FF500" s="40"/>
      <c r="FG500" s="40"/>
      <c r="FH500" s="40"/>
      <c r="FI500" s="40"/>
      <c r="FJ500" s="40"/>
      <c r="FK500" s="40"/>
      <c r="FL500" s="40"/>
      <c r="FM500" s="40"/>
      <c r="FN500" s="40"/>
      <c r="FO500" s="40"/>
      <c r="FP500" s="40"/>
      <c r="FQ500" s="40"/>
      <c r="FR500" s="40"/>
      <c r="FS500" s="40"/>
      <c r="FT500" s="40"/>
      <c r="FU500" s="40"/>
      <c r="FV500" s="40"/>
      <c r="FW500" s="40"/>
      <c r="FX500" s="40"/>
      <c r="FY500" s="40"/>
      <c r="FZ500" s="40"/>
      <c r="GA500" s="40"/>
      <c r="GB500" s="40"/>
      <c r="GC500" s="40"/>
      <c r="GD500" s="40"/>
      <c r="GE500" s="40"/>
      <c r="GF500" s="40"/>
      <c r="GG500" s="40"/>
      <c r="GH500" s="40"/>
      <c r="GI500" s="40"/>
      <c r="GJ500" s="40"/>
      <c r="GK500" s="40"/>
      <c r="GL500" s="40"/>
      <c r="GM500" s="40"/>
      <c r="GN500" s="40"/>
      <c r="GO500" s="40"/>
      <c r="GP500" s="40"/>
      <c r="GQ500" s="40"/>
      <c r="GR500" s="40"/>
      <c r="GS500" s="40"/>
      <c r="GT500" s="40"/>
      <c r="GU500" s="40"/>
      <c r="GV500" s="40"/>
      <c r="GW500" s="40"/>
      <c r="GX500" s="40"/>
      <c r="GY500" s="40"/>
      <c r="GZ500" s="40"/>
      <c r="HA500" s="40"/>
      <c r="HB500" s="40"/>
      <c r="HC500" s="40"/>
      <c r="HD500" s="40"/>
      <c r="HE500" s="40"/>
      <c r="HF500" s="40"/>
      <c r="HG500" s="40"/>
      <c r="HH500" s="40"/>
      <c r="HI500" s="40"/>
      <c r="HJ500" s="40"/>
      <c r="HK500" s="40"/>
      <c r="HL500" s="40"/>
      <c r="HM500" s="40"/>
      <c r="HN500" s="40"/>
      <c r="HO500" s="40"/>
      <c r="HP500" s="40"/>
      <c r="HQ500" s="40"/>
      <c r="HR500" s="40"/>
      <c r="HS500" s="40"/>
      <c r="HT500" s="40"/>
      <c r="HU500" s="40"/>
      <c r="HV500" s="40"/>
      <c r="HW500" s="40"/>
      <c r="HX500" s="40"/>
      <c r="HY500" s="40"/>
      <c r="HZ500" s="40"/>
      <c r="IA500" s="40"/>
      <c r="IB500" s="40"/>
      <c r="IC500" s="40"/>
      <c r="ID500" s="40"/>
      <c r="IE500" s="40"/>
      <c r="IF500" s="40"/>
      <c r="IG500" s="40"/>
      <c r="IH500" s="40"/>
      <c r="II500" s="40"/>
      <c r="IJ500" s="40"/>
      <c r="IK500" s="40"/>
      <c r="IL500" s="40"/>
      <c r="IM500" s="40"/>
      <c r="IN500" s="40"/>
      <c r="IO500" s="40"/>
      <c r="IP500" s="40"/>
      <c r="IQ500" s="40"/>
      <c r="IR500" s="40"/>
      <c r="IS500" s="40"/>
      <c r="IT500" s="40"/>
      <c r="IU500" s="40"/>
      <c r="IV500" s="40"/>
      <c r="IW500" s="40"/>
      <c r="IX500" s="40"/>
      <c r="IY500" s="40"/>
      <c r="IZ500" s="40"/>
      <c r="JA500" s="40"/>
      <c r="JB500" s="40"/>
      <c r="JC500" s="40"/>
      <c r="JD500" s="40"/>
      <c r="JE500" s="40"/>
      <c r="JF500" s="40"/>
      <c r="JG500" s="40"/>
      <c r="JH500" s="40"/>
      <c r="JI500" s="40"/>
      <c r="JJ500" s="40"/>
    </row>
    <row r="501" spans="1:270" ht="39.950000000000003" customHeight="1" outlineLevel="1" x14ac:dyDescent="0.3">
      <c r="A501" s="17" t="s">
        <v>649</v>
      </c>
      <c r="B501" s="12" t="s">
        <v>698</v>
      </c>
      <c r="C501" s="21" t="s">
        <v>28</v>
      </c>
      <c r="D501" s="21" t="s">
        <v>1222</v>
      </c>
      <c r="E501" s="158">
        <f t="shared" ref="E501:E552" si="107">F501+G501</f>
        <v>165.8297</v>
      </c>
      <c r="F501" s="159">
        <f t="shared" ref="F501:F532" si="108">H501+L501+Q501+Y501+T501+AK501+AP501+AM501+AR501+AU501+AW501+BB501+BJ501</f>
        <v>64.592619999999997</v>
      </c>
      <c r="G501" s="160">
        <f t="shared" ref="G501:G532" si="109">I501+J501+K501+M501+N501+R501+S501+V501+W501+AD501+O501+X501+Z501+AA501+AB501+AC501+AE501+AF501+P501+U501+AG501+AH501+AI501+AO501+AJ501+AL501+AQ501+AN501+AS501+AV501+AX501+AY501+AZ501+BA501+BC501+BD501+BE501+BF501+BG501+BH501+BI501+AT501+BK501+BL501+BN501+BO501+BP501+BQ501+BM501</f>
        <v>101.23708000000001</v>
      </c>
      <c r="H501" s="166"/>
      <c r="I501" s="165"/>
      <c r="J501" s="160"/>
      <c r="K501" s="160"/>
      <c r="L501" s="166">
        <v>64.592619999999997</v>
      </c>
      <c r="M501" s="165">
        <v>101.23708000000001</v>
      </c>
      <c r="N501" s="165"/>
      <c r="O501" s="165"/>
      <c r="P501" s="160"/>
      <c r="Q501" s="166"/>
      <c r="R501" s="165"/>
      <c r="S501" s="165"/>
      <c r="T501" s="159"/>
      <c r="U501" s="160"/>
      <c r="V501" s="165"/>
      <c r="W501" s="165"/>
      <c r="X501" s="160"/>
      <c r="Y501" s="166"/>
      <c r="Z501" s="160"/>
      <c r="AA501" s="160"/>
      <c r="AB501" s="165"/>
      <c r="AC501" s="165"/>
      <c r="AD501" s="165"/>
      <c r="AE501" s="165"/>
      <c r="AF501" s="160"/>
      <c r="AG501" s="160"/>
      <c r="AH501" s="160"/>
      <c r="AI501" s="160"/>
      <c r="AJ501" s="161"/>
      <c r="AK501" s="162"/>
      <c r="AL501" s="165"/>
      <c r="AM501" s="166"/>
      <c r="AN501" s="165"/>
      <c r="AO501" s="160"/>
      <c r="AP501" s="162"/>
      <c r="AQ501" s="161"/>
      <c r="AR501" s="162"/>
      <c r="AS501" s="161"/>
      <c r="AT501" s="165"/>
      <c r="AU501" s="166"/>
      <c r="AV501" s="165"/>
      <c r="AW501" s="166"/>
      <c r="AX501" s="165"/>
      <c r="AY501" s="165"/>
      <c r="AZ501" s="165"/>
      <c r="BA501" s="165"/>
      <c r="BB501" s="166"/>
      <c r="BC501" s="165"/>
      <c r="BD501" s="165"/>
      <c r="BE501" s="165"/>
      <c r="BF501" s="165"/>
      <c r="BG501" s="165"/>
      <c r="BH501" s="165"/>
      <c r="BI501" s="165"/>
      <c r="BJ501" s="166"/>
      <c r="BK501" s="165"/>
      <c r="BL501" s="165"/>
      <c r="BM501" s="163"/>
      <c r="BN501" s="165"/>
      <c r="BO501" s="165"/>
      <c r="BP501" s="165"/>
      <c r="BQ501" s="167"/>
    </row>
    <row r="502" spans="1:270" ht="39.950000000000003" customHeight="1" outlineLevel="1" x14ac:dyDescent="0.3">
      <c r="A502" s="17" t="s">
        <v>649</v>
      </c>
      <c r="B502" s="12" t="s">
        <v>1359</v>
      </c>
      <c r="C502" s="9" t="s">
        <v>28</v>
      </c>
      <c r="D502" s="74" t="s">
        <v>1386</v>
      </c>
      <c r="E502" s="158">
        <f t="shared" si="107"/>
        <v>108.16</v>
      </c>
      <c r="F502" s="159">
        <f t="shared" si="108"/>
        <v>0</v>
      </c>
      <c r="G502" s="160">
        <f t="shared" si="109"/>
        <v>108.16</v>
      </c>
      <c r="H502" s="166"/>
      <c r="I502" s="165"/>
      <c r="J502" s="160"/>
      <c r="K502" s="160"/>
      <c r="L502" s="166"/>
      <c r="M502" s="165"/>
      <c r="N502" s="165"/>
      <c r="O502" s="165"/>
      <c r="P502" s="160"/>
      <c r="Q502" s="166"/>
      <c r="R502" s="165"/>
      <c r="S502" s="165"/>
      <c r="T502" s="159"/>
      <c r="U502" s="160"/>
      <c r="V502" s="165"/>
      <c r="W502" s="165">
        <v>108.16</v>
      </c>
      <c r="X502" s="160"/>
      <c r="Y502" s="166"/>
      <c r="Z502" s="160"/>
      <c r="AA502" s="160"/>
      <c r="AB502" s="165"/>
      <c r="AC502" s="165"/>
      <c r="AD502" s="165"/>
      <c r="AE502" s="165"/>
      <c r="AF502" s="160"/>
      <c r="AG502" s="160"/>
      <c r="AH502" s="160"/>
      <c r="AI502" s="160"/>
      <c r="AJ502" s="161"/>
      <c r="AK502" s="162"/>
      <c r="AL502" s="165"/>
      <c r="AM502" s="166"/>
      <c r="AN502" s="165"/>
      <c r="AO502" s="160"/>
      <c r="AP502" s="162"/>
      <c r="AQ502" s="161"/>
      <c r="AR502" s="162"/>
      <c r="AS502" s="161"/>
      <c r="AT502" s="165"/>
      <c r="AU502" s="166"/>
      <c r="AV502" s="165"/>
      <c r="AW502" s="166"/>
      <c r="AX502" s="165"/>
      <c r="AY502" s="165"/>
      <c r="AZ502" s="165"/>
      <c r="BA502" s="165"/>
      <c r="BB502" s="166"/>
      <c r="BC502" s="165"/>
      <c r="BD502" s="165"/>
      <c r="BE502" s="165"/>
      <c r="BF502" s="165"/>
      <c r="BG502" s="165"/>
      <c r="BH502" s="165"/>
      <c r="BI502" s="165"/>
      <c r="BJ502" s="166"/>
      <c r="BK502" s="165"/>
      <c r="BL502" s="165"/>
      <c r="BM502" s="163"/>
      <c r="BN502" s="165"/>
      <c r="BO502" s="165"/>
      <c r="BP502" s="165"/>
      <c r="BQ502" s="167"/>
    </row>
    <row r="503" spans="1:270" ht="39.950000000000003" customHeight="1" outlineLevel="1" x14ac:dyDescent="0.3">
      <c r="A503" s="17" t="s">
        <v>649</v>
      </c>
      <c r="B503" s="12" t="s">
        <v>1375</v>
      </c>
      <c r="C503" s="9" t="s">
        <v>28</v>
      </c>
      <c r="D503" s="66" t="s">
        <v>699</v>
      </c>
      <c r="E503" s="158">
        <f t="shared" si="107"/>
        <v>2118.83232</v>
      </c>
      <c r="F503" s="159">
        <f t="shared" si="108"/>
        <v>364.00353999999999</v>
      </c>
      <c r="G503" s="160">
        <f t="shared" si="109"/>
        <v>1754.8287799999998</v>
      </c>
      <c r="H503" s="166"/>
      <c r="I503" s="165"/>
      <c r="J503" s="160"/>
      <c r="K503" s="160"/>
      <c r="L503" s="166">
        <v>364.00353999999999</v>
      </c>
      <c r="M503" s="165">
        <v>570.50878</v>
      </c>
      <c r="N503" s="165"/>
      <c r="O503" s="165"/>
      <c r="P503" s="160"/>
      <c r="Q503" s="166"/>
      <c r="R503" s="165"/>
      <c r="S503" s="165">
        <v>52.8</v>
      </c>
      <c r="T503" s="159"/>
      <c r="U503" s="160"/>
      <c r="V503" s="165"/>
      <c r="W503" s="165">
        <v>1131.52</v>
      </c>
      <c r="X503" s="160"/>
      <c r="Y503" s="166"/>
      <c r="Z503" s="160"/>
      <c r="AA503" s="160"/>
      <c r="AB503" s="165"/>
      <c r="AC503" s="165"/>
      <c r="AD503" s="165"/>
      <c r="AE503" s="165"/>
      <c r="AF503" s="160"/>
      <c r="AG503" s="160"/>
      <c r="AH503" s="160"/>
      <c r="AI503" s="160"/>
      <c r="AJ503" s="161"/>
      <c r="AK503" s="162"/>
      <c r="AL503" s="165"/>
      <c r="AM503" s="166"/>
      <c r="AN503" s="165"/>
      <c r="AO503" s="160"/>
      <c r="AP503" s="162"/>
      <c r="AQ503" s="161"/>
      <c r="AR503" s="162"/>
      <c r="AS503" s="161"/>
      <c r="AT503" s="165"/>
      <c r="AU503" s="166"/>
      <c r="AV503" s="165"/>
      <c r="AW503" s="166"/>
      <c r="AX503" s="165"/>
      <c r="AY503" s="165"/>
      <c r="AZ503" s="165"/>
      <c r="BA503" s="165"/>
      <c r="BB503" s="166"/>
      <c r="BC503" s="165"/>
      <c r="BD503" s="165"/>
      <c r="BE503" s="165"/>
      <c r="BF503" s="165"/>
      <c r="BG503" s="165"/>
      <c r="BH503" s="165"/>
      <c r="BI503" s="165"/>
      <c r="BJ503" s="166"/>
      <c r="BK503" s="165"/>
      <c r="BL503" s="165"/>
      <c r="BM503" s="163"/>
      <c r="BN503" s="165"/>
      <c r="BO503" s="165"/>
      <c r="BP503" s="165"/>
      <c r="BQ503" s="167"/>
    </row>
    <row r="504" spans="1:270" ht="39.950000000000003" customHeight="1" outlineLevel="1" x14ac:dyDescent="0.3">
      <c r="A504" s="17" t="s">
        <v>649</v>
      </c>
      <c r="B504" s="12" t="s">
        <v>700</v>
      </c>
      <c r="C504" s="9" t="s">
        <v>28</v>
      </c>
      <c r="D504" s="68" t="s">
        <v>701</v>
      </c>
      <c r="E504" s="158">
        <f t="shared" si="107"/>
        <v>514.49319000000003</v>
      </c>
      <c r="F504" s="159">
        <f t="shared" si="108"/>
        <v>0</v>
      </c>
      <c r="G504" s="160">
        <f t="shared" si="109"/>
        <v>514.49319000000003</v>
      </c>
      <c r="H504" s="166"/>
      <c r="I504" s="165"/>
      <c r="J504" s="160"/>
      <c r="K504" s="160"/>
      <c r="L504" s="166"/>
      <c r="M504" s="165"/>
      <c r="N504" s="165"/>
      <c r="O504" s="165"/>
      <c r="P504" s="160"/>
      <c r="Q504" s="166"/>
      <c r="R504" s="165"/>
      <c r="S504" s="165"/>
      <c r="T504" s="159"/>
      <c r="U504" s="160"/>
      <c r="V504" s="165"/>
      <c r="W504" s="165"/>
      <c r="X504" s="160"/>
      <c r="Y504" s="166"/>
      <c r="Z504" s="160"/>
      <c r="AA504" s="160"/>
      <c r="AB504" s="165"/>
      <c r="AC504" s="165"/>
      <c r="AD504" s="165"/>
      <c r="AE504" s="165"/>
      <c r="AF504" s="160"/>
      <c r="AG504" s="160"/>
      <c r="AH504" s="160"/>
      <c r="AI504" s="160"/>
      <c r="AJ504" s="161"/>
      <c r="AK504" s="162"/>
      <c r="AL504" s="165"/>
      <c r="AM504" s="166"/>
      <c r="AN504" s="165"/>
      <c r="AO504" s="160"/>
      <c r="AP504" s="162"/>
      <c r="AQ504" s="161"/>
      <c r="AR504" s="162"/>
      <c r="AS504" s="161"/>
      <c r="AT504" s="165"/>
      <c r="AU504" s="166"/>
      <c r="AV504" s="165"/>
      <c r="AW504" s="166"/>
      <c r="AX504" s="165"/>
      <c r="AY504" s="165"/>
      <c r="AZ504" s="165"/>
      <c r="BA504" s="165"/>
      <c r="BB504" s="166"/>
      <c r="BC504" s="165"/>
      <c r="BD504" s="165"/>
      <c r="BE504" s="165">
        <v>514.49319000000003</v>
      </c>
      <c r="BF504" s="165"/>
      <c r="BG504" s="165"/>
      <c r="BH504" s="165"/>
      <c r="BI504" s="165"/>
      <c r="BJ504" s="166"/>
      <c r="BK504" s="165"/>
      <c r="BL504" s="165"/>
      <c r="BM504" s="163"/>
      <c r="BN504" s="165"/>
      <c r="BO504" s="165"/>
      <c r="BP504" s="165"/>
      <c r="BQ504" s="167"/>
    </row>
    <row r="505" spans="1:270" ht="39.950000000000003" customHeight="1" outlineLevel="1" x14ac:dyDescent="0.3">
      <c r="A505" s="15" t="s">
        <v>649</v>
      </c>
      <c r="B505" s="12" t="s">
        <v>1300</v>
      </c>
      <c r="C505" s="9" t="s">
        <v>30</v>
      </c>
      <c r="D505" s="66">
        <v>245508504819</v>
      </c>
      <c r="E505" s="158">
        <f t="shared" si="107"/>
        <v>507.52</v>
      </c>
      <c r="F505" s="159">
        <f t="shared" si="108"/>
        <v>0</v>
      </c>
      <c r="G505" s="160">
        <f t="shared" si="109"/>
        <v>507.52</v>
      </c>
      <c r="H505" s="166"/>
      <c r="I505" s="165"/>
      <c r="J505" s="160"/>
      <c r="K505" s="160"/>
      <c r="L505" s="166"/>
      <c r="M505" s="165"/>
      <c r="N505" s="165"/>
      <c r="O505" s="165"/>
      <c r="P505" s="160"/>
      <c r="Q505" s="166"/>
      <c r="R505" s="165"/>
      <c r="S505" s="165"/>
      <c r="T505" s="159"/>
      <c r="U505" s="160"/>
      <c r="V505" s="165"/>
      <c r="W505" s="165">
        <v>507.52</v>
      </c>
      <c r="X505" s="160"/>
      <c r="Y505" s="166"/>
      <c r="Z505" s="160"/>
      <c r="AA505" s="160"/>
      <c r="AB505" s="165"/>
      <c r="AC505" s="165"/>
      <c r="AD505" s="165"/>
      <c r="AE505" s="165"/>
      <c r="AF505" s="160"/>
      <c r="AG505" s="160"/>
      <c r="AH505" s="160"/>
      <c r="AI505" s="160"/>
      <c r="AJ505" s="161"/>
      <c r="AK505" s="162"/>
      <c r="AL505" s="165"/>
      <c r="AM505" s="166"/>
      <c r="AN505" s="165"/>
      <c r="AO505" s="160"/>
      <c r="AP505" s="162"/>
      <c r="AQ505" s="161"/>
      <c r="AR505" s="162"/>
      <c r="AS505" s="161"/>
      <c r="AT505" s="165"/>
      <c r="AU505" s="166"/>
      <c r="AV505" s="165"/>
      <c r="AW505" s="166"/>
      <c r="AX505" s="165"/>
      <c r="AY505" s="165"/>
      <c r="AZ505" s="165"/>
      <c r="BA505" s="165"/>
      <c r="BB505" s="166"/>
      <c r="BC505" s="165"/>
      <c r="BD505" s="165"/>
      <c r="BE505" s="165"/>
      <c r="BF505" s="165"/>
      <c r="BG505" s="165"/>
      <c r="BH505" s="165"/>
      <c r="BI505" s="165"/>
      <c r="BJ505" s="166"/>
      <c r="BK505" s="165"/>
      <c r="BL505" s="165"/>
      <c r="BM505" s="163"/>
      <c r="BN505" s="165"/>
      <c r="BO505" s="165"/>
      <c r="BP505" s="165"/>
      <c r="BQ505" s="167"/>
    </row>
    <row r="506" spans="1:270" ht="39.950000000000003" customHeight="1" outlineLevel="1" x14ac:dyDescent="0.3">
      <c r="A506" s="15" t="s">
        <v>649</v>
      </c>
      <c r="B506" s="12" t="s">
        <v>1301</v>
      </c>
      <c r="C506" s="9" t="s">
        <v>30</v>
      </c>
      <c r="D506" s="9" t="s">
        <v>1217</v>
      </c>
      <c r="E506" s="158">
        <f t="shared" si="107"/>
        <v>311.55795000000001</v>
      </c>
      <c r="F506" s="159">
        <f t="shared" si="108"/>
        <v>42.737699999999997</v>
      </c>
      <c r="G506" s="160">
        <f t="shared" si="109"/>
        <v>268.82024999999999</v>
      </c>
      <c r="H506" s="166"/>
      <c r="I506" s="165"/>
      <c r="J506" s="160"/>
      <c r="K506" s="160"/>
      <c r="L506" s="166"/>
      <c r="M506" s="165"/>
      <c r="N506" s="165"/>
      <c r="O506" s="165"/>
      <c r="P506" s="160"/>
      <c r="Q506" s="166"/>
      <c r="R506" s="165"/>
      <c r="S506" s="165"/>
      <c r="T506" s="159"/>
      <c r="U506" s="160"/>
      <c r="V506" s="165"/>
      <c r="W506" s="165"/>
      <c r="X506" s="160"/>
      <c r="Y506" s="166">
        <v>42.737699999999997</v>
      </c>
      <c r="Z506" s="160">
        <v>14.245900000000001</v>
      </c>
      <c r="AA506" s="160">
        <v>254.57435000000001</v>
      </c>
      <c r="AB506" s="165"/>
      <c r="AC506" s="165"/>
      <c r="AD506" s="165"/>
      <c r="AE506" s="165"/>
      <c r="AF506" s="160"/>
      <c r="AG506" s="160"/>
      <c r="AH506" s="160"/>
      <c r="AI506" s="160"/>
      <c r="AJ506" s="161"/>
      <c r="AK506" s="162"/>
      <c r="AL506" s="165"/>
      <c r="AM506" s="166"/>
      <c r="AN506" s="165"/>
      <c r="AO506" s="160"/>
      <c r="AP506" s="162"/>
      <c r="AQ506" s="161"/>
      <c r="AR506" s="162"/>
      <c r="AS506" s="161"/>
      <c r="AT506" s="165"/>
      <c r="AU506" s="166"/>
      <c r="AV506" s="165"/>
      <c r="AW506" s="166"/>
      <c r="AX506" s="165"/>
      <c r="AY506" s="165"/>
      <c r="AZ506" s="165"/>
      <c r="BA506" s="165"/>
      <c r="BB506" s="166"/>
      <c r="BC506" s="165"/>
      <c r="BD506" s="165"/>
      <c r="BE506" s="165"/>
      <c r="BF506" s="165"/>
      <c r="BG506" s="165"/>
      <c r="BH506" s="165"/>
      <c r="BI506" s="165"/>
      <c r="BJ506" s="166"/>
      <c r="BK506" s="165"/>
      <c r="BL506" s="165"/>
      <c r="BM506" s="163"/>
      <c r="BN506" s="165"/>
      <c r="BO506" s="165"/>
      <c r="BP506" s="165"/>
      <c r="BQ506" s="167"/>
    </row>
    <row r="507" spans="1:270" ht="39.950000000000003" customHeight="1" outlineLevel="1" x14ac:dyDescent="0.3">
      <c r="A507" s="17" t="s">
        <v>649</v>
      </c>
      <c r="B507" s="12" t="s">
        <v>1455</v>
      </c>
      <c r="C507" s="9" t="s">
        <v>30</v>
      </c>
      <c r="D507" s="66">
        <v>245511064050</v>
      </c>
      <c r="E507" s="158">
        <f t="shared" si="107"/>
        <v>43.925339999999998</v>
      </c>
      <c r="F507" s="159">
        <f t="shared" si="108"/>
        <v>9.1165800000000008</v>
      </c>
      <c r="G507" s="160">
        <f t="shared" si="109"/>
        <v>34.808759999999999</v>
      </c>
      <c r="H507" s="166"/>
      <c r="I507" s="165"/>
      <c r="J507" s="160"/>
      <c r="K507" s="160"/>
      <c r="L507" s="166"/>
      <c r="M507" s="165"/>
      <c r="N507" s="165"/>
      <c r="O507" s="165"/>
      <c r="P507" s="160"/>
      <c r="Q507" s="166"/>
      <c r="R507" s="165"/>
      <c r="S507" s="165"/>
      <c r="T507" s="159"/>
      <c r="U507" s="160"/>
      <c r="V507" s="165"/>
      <c r="W507" s="165"/>
      <c r="X507" s="160"/>
      <c r="Y507" s="166">
        <v>9.1165800000000008</v>
      </c>
      <c r="Z507" s="160">
        <v>3.0388600000000001</v>
      </c>
      <c r="AA507" s="160">
        <v>31.7699</v>
      </c>
      <c r="AB507" s="165"/>
      <c r="AC507" s="165"/>
      <c r="AD507" s="165"/>
      <c r="AE507" s="165"/>
      <c r="AF507" s="160"/>
      <c r="AG507" s="160"/>
      <c r="AH507" s="160"/>
      <c r="AI507" s="160"/>
      <c r="AJ507" s="161"/>
      <c r="AK507" s="162"/>
      <c r="AL507" s="165"/>
      <c r="AM507" s="166"/>
      <c r="AN507" s="165"/>
      <c r="AO507" s="160"/>
      <c r="AP507" s="162"/>
      <c r="AQ507" s="161"/>
      <c r="AR507" s="162"/>
      <c r="AS507" s="161"/>
      <c r="AT507" s="165"/>
      <c r="AU507" s="166"/>
      <c r="AV507" s="165"/>
      <c r="AW507" s="166"/>
      <c r="AX507" s="165"/>
      <c r="AY507" s="165"/>
      <c r="AZ507" s="165"/>
      <c r="BA507" s="165"/>
      <c r="BB507" s="166"/>
      <c r="BC507" s="165"/>
      <c r="BD507" s="165"/>
      <c r="BE507" s="165"/>
      <c r="BF507" s="165"/>
      <c r="BG507" s="165"/>
      <c r="BH507" s="165"/>
      <c r="BI507" s="165"/>
      <c r="BJ507" s="166"/>
      <c r="BK507" s="165"/>
      <c r="BL507" s="165"/>
      <c r="BM507" s="163"/>
      <c r="BN507" s="165"/>
      <c r="BO507" s="165"/>
      <c r="BP507" s="165"/>
      <c r="BQ507" s="167"/>
    </row>
    <row r="508" spans="1:270" ht="39.950000000000003" customHeight="1" outlineLevel="1" x14ac:dyDescent="0.3">
      <c r="A508" s="15" t="s">
        <v>649</v>
      </c>
      <c r="B508" s="12" t="s">
        <v>1502</v>
      </c>
      <c r="C508" s="21" t="s">
        <v>28</v>
      </c>
      <c r="D508" s="67">
        <v>245511705459</v>
      </c>
      <c r="E508" s="158">
        <f t="shared" si="107"/>
        <v>677.80235000000005</v>
      </c>
      <c r="F508" s="159">
        <f t="shared" si="108"/>
        <v>125.13</v>
      </c>
      <c r="G508" s="160">
        <f t="shared" si="109"/>
        <v>552.67235000000005</v>
      </c>
      <c r="H508" s="166"/>
      <c r="I508" s="165"/>
      <c r="J508" s="160"/>
      <c r="K508" s="160"/>
      <c r="L508" s="166"/>
      <c r="M508" s="165"/>
      <c r="N508" s="165"/>
      <c r="O508" s="165"/>
      <c r="P508" s="160"/>
      <c r="Q508" s="166"/>
      <c r="R508" s="165"/>
      <c r="S508" s="165"/>
      <c r="T508" s="159"/>
      <c r="U508" s="160"/>
      <c r="V508" s="165"/>
      <c r="W508" s="165"/>
      <c r="X508" s="160"/>
      <c r="Y508" s="166">
        <v>125.13</v>
      </c>
      <c r="Z508" s="160">
        <v>41.71</v>
      </c>
      <c r="AA508" s="160">
        <v>510.96235000000001</v>
      </c>
      <c r="AB508" s="165"/>
      <c r="AC508" s="165"/>
      <c r="AD508" s="165"/>
      <c r="AE508" s="165"/>
      <c r="AF508" s="160"/>
      <c r="AG508" s="160"/>
      <c r="AH508" s="160"/>
      <c r="AI508" s="160"/>
      <c r="AJ508" s="161"/>
      <c r="AK508" s="162"/>
      <c r="AL508" s="165"/>
      <c r="AM508" s="166"/>
      <c r="AN508" s="165"/>
      <c r="AO508" s="160"/>
      <c r="AP508" s="162"/>
      <c r="AQ508" s="161"/>
      <c r="AR508" s="162"/>
      <c r="AS508" s="161"/>
      <c r="AT508" s="165"/>
      <c r="AU508" s="166"/>
      <c r="AV508" s="165"/>
      <c r="AW508" s="166"/>
      <c r="AX508" s="165"/>
      <c r="AY508" s="165"/>
      <c r="AZ508" s="165"/>
      <c r="BA508" s="165"/>
      <c r="BB508" s="166"/>
      <c r="BC508" s="165"/>
      <c r="BD508" s="165"/>
      <c r="BE508" s="165"/>
      <c r="BF508" s="165"/>
      <c r="BG508" s="165"/>
      <c r="BH508" s="165"/>
      <c r="BI508" s="165"/>
      <c r="BJ508" s="166"/>
      <c r="BK508" s="165"/>
      <c r="BL508" s="165"/>
      <c r="BM508" s="163"/>
      <c r="BN508" s="165"/>
      <c r="BO508" s="165"/>
      <c r="BP508" s="165"/>
      <c r="BQ508" s="167"/>
    </row>
    <row r="509" spans="1:270" ht="39.950000000000003" customHeight="1" outlineLevel="1" x14ac:dyDescent="0.3">
      <c r="A509" s="15" t="s">
        <v>649</v>
      </c>
      <c r="B509" s="12" t="s">
        <v>1304</v>
      </c>
      <c r="C509" s="9" t="s">
        <v>30</v>
      </c>
      <c r="D509" s="69" t="s">
        <v>679</v>
      </c>
      <c r="E509" s="158">
        <f t="shared" si="107"/>
        <v>671.65249999999992</v>
      </c>
      <c r="F509" s="159">
        <f t="shared" si="108"/>
        <v>313.44265999999993</v>
      </c>
      <c r="G509" s="160">
        <f t="shared" si="109"/>
        <v>358.20984000000004</v>
      </c>
      <c r="H509" s="166">
        <v>263.58</v>
      </c>
      <c r="I509" s="165">
        <v>87.86</v>
      </c>
      <c r="J509" s="160"/>
      <c r="K509" s="160"/>
      <c r="L509" s="166">
        <v>28.71266</v>
      </c>
      <c r="M509" s="165">
        <v>45.001840000000001</v>
      </c>
      <c r="N509" s="165"/>
      <c r="O509" s="165">
        <v>174</v>
      </c>
      <c r="P509" s="160"/>
      <c r="Q509" s="166"/>
      <c r="R509" s="165"/>
      <c r="S509" s="165"/>
      <c r="T509" s="159"/>
      <c r="U509" s="160"/>
      <c r="V509" s="165"/>
      <c r="W509" s="165"/>
      <c r="X509" s="160"/>
      <c r="Y509" s="166">
        <v>21.15</v>
      </c>
      <c r="Z509" s="160">
        <v>7.05</v>
      </c>
      <c r="AA509" s="160">
        <v>44.298000000000002</v>
      </c>
      <c r="AB509" s="165"/>
      <c r="AC509" s="165"/>
      <c r="AD509" s="165"/>
      <c r="AE509" s="165"/>
      <c r="AF509" s="160"/>
      <c r="AG509" s="160"/>
      <c r="AH509" s="160"/>
      <c r="AI509" s="160"/>
      <c r="AJ509" s="161"/>
      <c r="AK509" s="162"/>
      <c r="AL509" s="165"/>
      <c r="AM509" s="166"/>
      <c r="AN509" s="165"/>
      <c r="AO509" s="160"/>
      <c r="AP509" s="162"/>
      <c r="AQ509" s="161"/>
      <c r="AR509" s="162"/>
      <c r="AS509" s="161"/>
      <c r="AT509" s="165"/>
      <c r="AU509" s="166"/>
      <c r="AV509" s="165"/>
      <c r="AW509" s="166"/>
      <c r="AX509" s="165"/>
      <c r="AY509" s="165"/>
      <c r="AZ509" s="165"/>
      <c r="BA509" s="165"/>
      <c r="BB509" s="166"/>
      <c r="BC509" s="165"/>
      <c r="BD509" s="165"/>
      <c r="BE509" s="165"/>
      <c r="BF509" s="165"/>
      <c r="BG509" s="165"/>
      <c r="BH509" s="165"/>
      <c r="BI509" s="165"/>
      <c r="BJ509" s="166"/>
      <c r="BK509" s="165"/>
      <c r="BL509" s="165"/>
      <c r="BM509" s="163"/>
      <c r="BN509" s="165"/>
      <c r="BO509" s="165"/>
      <c r="BP509" s="165"/>
      <c r="BQ509" s="167"/>
    </row>
    <row r="510" spans="1:270" ht="39.950000000000003" customHeight="1" outlineLevel="1" x14ac:dyDescent="0.3">
      <c r="A510" s="17" t="s">
        <v>649</v>
      </c>
      <c r="B510" s="12" t="s">
        <v>1327</v>
      </c>
      <c r="C510" s="9" t="s">
        <v>30</v>
      </c>
      <c r="D510" s="66">
        <v>245508678942</v>
      </c>
      <c r="E510" s="158">
        <f t="shared" si="107"/>
        <v>195.56852000000003</v>
      </c>
      <c r="F510" s="159">
        <f t="shared" si="108"/>
        <v>38.069879999999998</v>
      </c>
      <c r="G510" s="160">
        <f t="shared" si="109"/>
        <v>157.49864000000002</v>
      </c>
      <c r="H510" s="166"/>
      <c r="I510" s="165"/>
      <c r="J510" s="160"/>
      <c r="K510" s="160"/>
      <c r="L510" s="166"/>
      <c r="M510" s="165"/>
      <c r="N510" s="165"/>
      <c r="O510" s="165"/>
      <c r="P510" s="160"/>
      <c r="Q510" s="166"/>
      <c r="R510" s="165"/>
      <c r="S510" s="165"/>
      <c r="T510" s="159"/>
      <c r="U510" s="160"/>
      <c r="V510" s="165"/>
      <c r="W510" s="165"/>
      <c r="X510" s="160"/>
      <c r="Y510" s="166">
        <v>38.069879999999998</v>
      </c>
      <c r="Z510" s="160">
        <v>12.689959999999999</v>
      </c>
      <c r="AA510" s="160">
        <v>144.80868000000001</v>
      </c>
      <c r="AB510" s="165"/>
      <c r="AC510" s="165"/>
      <c r="AD510" s="165"/>
      <c r="AE510" s="165"/>
      <c r="AF510" s="160"/>
      <c r="AG510" s="160"/>
      <c r="AH510" s="160"/>
      <c r="AI510" s="160"/>
      <c r="AJ510" s="161"/>
      <c r="AK510" s="162"/>
      <c r="AL510" s="165"/>
      <c r="AM510" s="166"/>
      <c r="AN510" s="165"/>
      <c r="AO510" s="160"/>
      <c r="AP510" s="162"/>
      <c r="AQ510" s="161"/>
      <c r="AR510" s="162"/>
      <c r="AS510" s="161"/>
      <c r="AT510" s="165"/>
      <c r="AU510" s="166"/>
      <c r="AV510" s="165"/>
      <c r="AW510" s="166"/>
      <c r="AX510" s="165"/>
      <c r="AY510" s="165"/>
      <c r="AZ510" s="165"/>
      <c r="BA510" s="165"/>
      <c r="BB510" s="166"/>
      <c r="BC510" s="165"/>
      <c r="BD510" s="165"/>
      <c r="BE510" s="165"/>
      <c r="BF510" s="165"/>
      <c r="BG510" s="165"/>
      <c r="BH510" s="165"/>
      <c r="BI510" s="165"/>
      <c r="BJ510" s="166"/>
      <c r="BK510" s="165"/>
      <c r="BL510" s="165"/>
      <c r="BM510" s="163"/>
      <c r="BN510" s="165"/>
      <c r="BO510" s="165"/>
      <c r="BP510" s="165"/>
      <c r="BQ510" s="167"/>
    </row>
    <row r="511" spans="1:270" ht="39.950000000000003" customHeight="1" outlineLevel="1" x14ac:dyDescent="0.3">
      <c r="A511" s="17" t="s">
        <v>649</v>
      </c>
      <c r="B511" s="12" t="s">
        <v>680</v>
      </c>
      <c r="C511" s="9" t="s">
        <v>30</v>
      </c>
      <c r="D511" s="66" t="s">
        <v>681</v>
      </c>
      <c r="E511" s="158">
        <f t="shared" si="107"/>
        <v>276.73298</v>
      </c>
      <c r="F511" s="159">
        <f t="shared" si="108"/>
        <v>79.251149999999996</v>
      </c>
      <c r="G511" s="160">
        <f t="shared" si="109"/>
        <v>197.48183</v>
      </c>
      <c r="H511" s="166"/>
      <c r="I511" s="165"/>
      <c r="J511" s="160"/>
      <c r="K511" s="160"/>
      <c r="L511" s="166">
        <v>55.21575</v>
      </c>
      <c r="M511" s="165">
        <v>86.540549999999996</v>
      </c>
      <c r="N511" s="165"/>
      <c r="O511" s="165"/>
      <c r="P511" s="160"/>
      <c r="Q511" s="166"/>
      <c r="R511" s="165"/>
      <c r="S511" s="165"/>
      <c r="T511" s="159"/>
      <c r="U511" s="160"/>
      <c r="V511" s="165"/>
      <c r="W511" s="165"/>
      <c r="X511" s="160"/>
      <c r="Y511" s="166">
        <v>24.035399999999999</v>
      </c>
      <c r="Z511" s="160">
        <v>8.0117999999999991</v>
      </c>
      <c r="AA511" s="160">
        <v>102.92948</v>
      </c>
      <c r="AB511" s="165"/>
      <c r="AC511" s="165"/>
      <c r="AD511" s="165"/>
      <c r="AE511" s="165"/>
      <c r="AF511" s="160"/>
      <c r="AG511" s="160"/>
      <c r="AH511" s="160"/>
      <c r="AI511" s="160"/>
      <c r="AJ511" s="161"/>
      <c r="AK511" s="162"/>
      <c r="AL511" s="165"/>
      <c r="AM511" s="166"/>
      <c r="AN511" s="165"/>
      <c r="AO511" s="160"/>
      <c r="AP511" s="162"/>
      <c r="AQ511" s="161"/>
      <c r="AR511" s="162"/>
      <c r="AS511" s="161"/>
      <c r="AT511" s="165"/>
      <c r="AU511" s="166"/>
      <c r="AV511" s="165"/>
      <c r="AW511" s="166"/>
      <c r="AX511" s="165"/>
      <c r="AY511" s="165"/>
      <c r="AZ511" s="165"/>
      <c r="BA511" s="165"/>
      <c r="BB511" s="166"/>
      <c r="BC511" s="165"/>
      <c r="BD511" s="165"/>
      <c r="BE511" s="165"/>
      <c r="BF511" s="165"/>
      <c r="BG511" s="165"/>
      <c r="BH511" s="165"/>
      <c r="BI511" s="165"/>
      <c r="BJ511" s="166"/>
      <c r="BK511" s="165"/>
      <c r="BL511" s="165"/>
      <c r="BM511" s="163"/>
      <c r="BN511" s="165"/>
      <c r="BO511" s="165"/>
      <c r="BP511" s="165"/>
      <c r="BQ511" s="167"/>
    </row>
    <row r="512" spans="1:270" ht="39.950000000000003" customHeight="1" outlineLevel="1" x14ac:dyDescent="0.3">
      <c r="A512" s="15" t="s">
        <v>649</v>
      </c>
      <c r="B512" s="12" t="s">
        <v>1305</v>
      </c>
      <c r="C512" s="9" t="s">
        <v>30</v>
      </c>
      <c r="D512" s="9" t="s">
        <v>1220</v>
      </c>
      <c r="E512" s="158">
        <f t="shared" si="107"/>
        <v>96.189230000000009</v>
      </c>
      <c r="F512" s="159">
        <f t="shared" si="108"/>
        <v>18.047999999999998</v>
      </c>
      <c r="G512" s="160">
        <f t="shared" si="109"/>
        <v>78.141230000000007</v>
      </c>
      <c r="H512" s="166"/>
      <c r="I512" s="165"/>
      <c r="J512" s="160"/>
      <c r="K512" s="160"/>
      <c r="L512" s="166"/>
      <c r="M512" s="165"/>
      <c r="N512" s="165"/>
      <c r="O512" s="165"/>
      <c r="P512" s="160"/>
      <c r="Q512" s="166"/>
      <c r="R512" s="165"/>
      <c r="S512" s="165"/>
      <c r="T512" s="159"/>
      <c r="U512" s="160"/>
      <c r="V512" s="165"/>
      <c r="W512" s="165"/>
      <c r="X512" s="160"/>
      <c r="Y512" s="166">
        <v>18.047999999999998</v>
      </c>
      <c r="Z512" s="160">
        <v>6.016</v>
      </c>
      <c r="AA512" s="160">
        <v>72.125230000000002</v>
      </c>
      <c r="AB512" s="165"/>
      <c r="AC512" s="165"/>
      <c r="AD512" s="165"/>
      <c r="AE512" s="165"/>
      <c r="AF512" s="160"/>
      <c r="AG512" s="160"/>
      <c r="AH512" s="160"/>
      <c r="AI512" s="160"/>
      <c r="AJ512" s="161"/>
      <c r="AK512" s="162"/>
      <c r="AL512" s="165"/>
      <c r="AM512" s="166"/>
      <c r="AN512" s="165"/>
      <c r="AO512" s="160"/>
      <c r="AP512" s="162"/>
      <c r="AQ512" s="161"/>
      <c r="AR512" s="162"/>
      <c r="AS512" s="161"/>
      <c r="AT512" s="165"/>
      <c r="AU512" s="166"/>
      <c r="AV512" s="165"/>
      <c r="AW512" s="166"/>
      <c r="AX512" s="165"/>
      <c r="AY512" s="165"/>
      <c r="AZ512" s="165"/>
      <c r="BA512" s="165"/>
      <c r="BB512" s="166"/>
      <c r="BC512" s="165"/>
      <c r="BD512" s="165"/>
      <c r="BE512" s="165"/>
      <c r="BF512" s="165"/>
      <c r="BG512" s="165"/>
      <c r="BH512" s="165"/>
      <c r="BI512" s="165"/>
      <c r="BJ512" s="166"/>
      <c r="BK512" s="165"/>
      <c r="BL512" s="165"/>
      <c r="BM512" s="163"/>
      <c r="BN512" s="165"/>
      <c r="BO512" s="165"/>
      <c r="BP512" s="165"/>
      <c r="BQ512" s="167"/>
    </row>
    <row r="513" spans="1:69" ht="39.950000000000003" customHeight="1" outlineLevel="1" x14ac:dyDescent="0.3">
      <c r="A513" s="17" t="s">
        <v>649</v>
      </c>
      <c r="B513" s="12" t="s">
        <v>1160</v>
      </c>
      <c r="C513" s="9" t="s">
        <v>30</v>
      </c>
      <c r="D513" s="9" t="s">
        <v>1219</v>
      </c>
      <c r="E513" s="158">
        <f t="shared" si="107"/>
        <v>213.99344000000002</v>
      </c>
      <c r="F513" s="159">
        <f t="shared" si="108"/>
        <v>36.655799999999999</v>
      </c>
      <c r="G513" s="160">
        <f t="shared" si="109"/>
        <v>177.33764000000002</v>
      </c>
      <c r="H513" s="166"/>
      <c r="I513" s="165"/>
      <c r="J513" s="160"/>
      <c r="K513" s="160"/>
      <c r="L513" s="166"/>
      <c r="M513" s="165"/>
      <c r="N513" s="165"/>
      <c r="O513" s="165"/>
      <c r="P513" s="160"/>
      <c r="Q513" s="166"/>
      <c r="R513" s="165"/>
      <c r="S513" s="165"/>
      <c r="T513" s="159"/>
      <c r="U513" s="160"/>
      <c r="V513" s="165"/>
      <c r="W513" s="165"/>
      <c r="X513" s="160"/>
      <c r="Y513" s="166">
        <v>36.655799999999999</v>
      </c>
      <c r="Z513" s="160">
        <v>12.2186</v>
      </c>
      <c r="AA513" s="160">
        <v>165.11904000000001</v>
      </c>
      <c r="AB513" s="165"/>
      <c r="AC513" s="165"/>
      <c r="AD513" s="165"/>
      <c r="AE513" s="165"/>
      <c r="AF513" s="160"/>
      <c r="AG513" s="160"/>
      <c r="AH513" s="160"/>
      <c r="AI513" s="160"/>
      <c r="AJ513" s="161"/>
      <c r="AK513" s="162"/>
      <c r="AL513" s="165"/>
      <c r="AM513" s="166"/>
      <c r="AN513" s="165"/>
      <c r="AO513" s="160"/>
      <c r="AP513" s="162"/>
      <c r="AQ513" s="161"/>
      <c r="AR513" s="162"/>
      <c r="AS513" s="161"/>
      <c r="AT513" s="165"/>
      <c r="AU513" s="166"/>
      <c r="AV513" s="165"/>
      <c r="AW513" s="166"/>
      <c r="AX513" s="165"/>
      <c r="AY513" s="165"/>
      <c r="AZ513" s="165"/>
      <c r="BA513" s="165"/>
      <c r="BB513" s="166"/>
      <c r="BC513" s="165"/>
      <c r="BD513" s="165"/>
      <c r="BE513" s="165"/>
      <c r="BF513" s="165"/>
      <c r="BG513" s="165"/>
      <c r="BH513" s="165"/>
      <c r="BI513" s="165"/>
      <c r="BJ513" s="166"/>
      <c r="BK513" s="165"/>
      <c r="BL513" s="165"/>
      <c r="BM513" s="163"/>
      <c r="BN513" s="165"/>
      <c r="BO513" s="165"/>
      <c r="BP513" s="165"/>
      <c r="BQ513" s="167"/>
    </row>
    <row r="514" spans="1:69" ht="39.950000000000003" customHeight="1" outlineLevel="1" x14ac:dyDescent="0.3">
      <c r="A514" s="15" t="s">
        <v>649</v>
      </c>
      <c r="B514" s="12" t="s">
        <v>674</v>
      </c>
      <c r="C514" s="9" t="s">
        <v>30</v>
      </c>
      <c r="D514" s="68" t="s">
        <v>675</v>
      </c>
      <c r="E514" s="158">
        <f t="shared" si="107"/>
        <v>2796.6446999999998</v>
      </c>
      <c r="F514" s="159">
        <f t="shared" si="108"/>
        <v>1542.02224</v>
      </c>
      <c r="G514" s="160">
        <f t="shared" si="109"/>
        <v>1254.62246</v>
      </c>
      <c r="H514" s="166">
        <v>1336.65879</v>
      </c>
      <c r="I514" s="165">
        <v>445.55291999999997</v>
      </c>
      <c r="J514" s="160"/>
      <c r="K514" s="160"/>
      <c r="L514" s="166">
        <v>205.36345</v>
      </c>
      <c r="M514" s="165">
        <v>321.86953999999997</v>
      </c>
      <c r="N514" s="165"/>
      <c r="O514" s="165">
        <v>487.2</v>
      </c>
      <c r="P514" s="160"/>
      <c r="Q514" s="166"/>
      <c r="R514" s="165"/>
      <c r="S514" s="165"/>
      <c r="T514" s="159"/>
      <c r="U514" s="160"/>
      <c r="V514" s="165"/>
      <c r="W514" s="165"/>
      <c r="X514" s="160"/>
      <c r="Y514" s="166"/>
      <c r="Z514" s="160"/>
      <c r="AA514" s="160"/>
      <c r="AB514" s="165"/>
      <c r="AC514" s="165"/>
      <c r="AD514" s="165"/>
      <c r="AE514" s="165"/>
      <c r="AF514" s="160"/>
      <c r="AG514" s="160"/>
      <c r="AH514" s="160"/>
      <c r="AI514" s="160"/>
      <c r="AJ514" s="161"/>
      <c r="AK514" s="162"/>
      <c r="AL514" s="165"/>
      <c r="AM514" s="166"/>
      <c r="AN514" s="165"/>
      <c r="AO514" s="160"/>
      <c r="AP514" s="162"/>
      <c r="AQ514" s="161"/>
      <c r="AR514" s="162"/>
      <c r="AS514" s="161"/>
      <c r="AT514" s="165"/>
      <c r="AU514" s="166"/>
      <c r="AV514" s="165"/>
      <c r="AW514" s="166"/>
      <c r="AX514" s="165"/>
      <c r="AY514" s="165"/>
      <c r="AZ514" s="165"/>
      <c r="BA514" s="165"/>
      <c r="BB514" s="166"/>
      <c r="BC514" s="165"/>
      <c r="BD514" s="165"/>
      <c r="BE514" s="165"/>
      <c r="BF514" s="165"/>
      <c r="BG514" s="165"/>
      <c r="BH514" s="165"/>
      <c r="BI514" s="165"/>
      <c r="BJ514" s="166"/>
      <c r="BK514" s="165"/>
      <c r="BL514" s="165"/>
      <c r="BM514" s="163"/>
      <c r="BN514" s="165"/>
      <c r="BO514" s="165"/>
      <c r="BP514" s="165"/>
      <c r="BQ514" s="167"/>
    </row>
    <row r="515" spans="1:69" ht="39.950000000000003" customHeight="1" outlineLevel="1" x14ac:dyDescent="0.3">
      <c r="A515" s="17" t="s">
        <v>649</v>
      </c>
      <c r="B515" s="12" t="s">
        <v>678</v>
      </c>
      <c r="C515" s="9" t="s">
        <v>30</v>
      </c>
      <c r="D515" s="68">
        <v>245503304118</v>
      </c>
      <c r="E515" s="158">
        <f t="shared" si="107"/>
        <v>232.96</v>
      </c>
      <c r="F515" s="159">
        <f t="shared" si="108"/>
        <v>0</v>
      </c>
      <c r="G515" s="160">
        <f t="shared" si="109"/>
        <v>232.96</v>
      </c>
      <c r="H515" s="166"/>
      <c r="I515" s="165"/>
      <c r="J515" s="160"/>
      <c r="K515" s="160"/>
      <c r="L515" s="166"/>
      <c r="M515" s="165"/>
      <c r="N515" s="165"/>
      <c r="O515" s="165"/>
      <c r="P515" s="160"/>
      <c r="Q515" s="166"/>
      <c r="R515" s="165"/>
      <c r="S515" s="165"/>
      <c r="T515" s="159"/>
      <c r="U515" s="160"/>
      <c r="V515" s="165"/>
      <c r="W515" s="165">
        <v>232.96</v>
      </c>
      <c r="X515" s="160"/>
      <c r="Y515" s="166"/>
      <c r="Z515" s="160"/>
      <c r="AA515" s="160"/>
      <c r="AB515" s="165"/>
      <c r="AC515" s="165"/>
      <c r="AD515" s="165"/>
      <c r="AE515" s="165"/>
      <c r="AF515" s="160"/>
      <c r="AG515" s="160"/>
      <c r="AH515" s="160"/>
      <c r="AI515" s="160"/>
      <c r="AJ515" s="161"/>
      <c r="AK515" s="162"/>
      <c r="AL515" s="165"/>
      <c r="AM515" s="166"/>
      <c r="AN515" s="165"/>
      <c r="AO515" s="160"/>
      <c r="AP515" s="162"/>
      <c r="AQ515" s="161"/>
      <c r="AR515" s="162"/>
      <c r="AS515" s="161"/>
      <c r="AT515" s="165"/>
      <c r="AU515" s="166"/>
      <c r="AV515" s="165"/>
      <c r="AW515" s="166"/>
      <c r="AX515" s="165"/>
      <c r="AY515" s="165"/>
      <c r="AZ515" s="165"/>
      <c r="BA515" s="165"/>
      <c r="BB515" s="166"/>
      <c r="BC515" s="165"/>
      <c r="BD515" s="165"/>
      <c r="BE515" s="165"/>
      <c r="BF515" s="165"/>
      <c r="BG515" s="165"/>
      <c r="BH515" s="165"/>
      <c r="BI515" s="165"/>
      <c r="BJ515" s="166"/>
      <c r="BK515" s="165"/>
      <c r="BL515" s="165"/>
      <c r="BM515" s="163"/>
      <c r="BN515" s="165"/>
      <c r="BO515" s="165"/>
      <c r="BP515" s="165"/>
      <c r="BQ515" s="167"/>
    </row>
    <row r="516" spans="1:69" ht="39.950000000000003" customHeight="1" outlineLevel="1" x14ac:dyDescent="0.3">
      <c r="A516" s="15" t="s">
        <v>649</v>
      </c>
      <c r="B516" s="12" t="s">
        <v>682</v>
      </c>
      <c r="C516" s="9" t="s">
        <v>30</v>
      </c>
      <c r="D516" s="66">
        <v>245508461259</v>
      </c>
      <c r="E516" s="158">
        <f t="shared" si="107"/>
        <v>356.57462000000004</v>
      </c>
      <c r="F516" s="159">
        <f t="shared" si="108"/>
        <v>22.5717</v>
      </c>
      <c r="G516" s="160">
        <f t="shared" si="109"/>
        <v>334.00292000000002</v>
      </c>
      <c r="H516" s="166"/>
      <c r="I516" s="165"/>
      <c r="J516" s="160"/>
      <c r="K516" s="160"/>
      <c r="L516" s="166"/>
      <c r="M516" s="165"/>
      <c r="N516" s="165"/>
      <c r="O516" s="165"/>
      <c r="P516" s="160"/>
      <c r="Q516" s="166"/>
      <c r="R516" s="165"/>
      <c r="S516" s="165"/>
      <c r="T516" s="159"/>
      <c r="U516" s="160"/>
      <c r="V516" s="165"/>
      <c r="W516" s="165"/>
      <c r="X516" s="160"/>
      <c r="Y516" s="166">
        <v>22.5717</v>
      </c>
      <c r="Z516" s="160">
        <v>7.5239000000000003</v>
      </c>
      <c r="AA516" s="160">
        <v>124.50662</v>
      </c>
      <c r="AB516" s="165"/>
      <c r="AC516" s="165"/>
      <c r="AD516" s="165"/>
      <c r="AE516" s="165"/>
      <c r="AF516" s="160"/>
      <c r="AG516" s="160"/>
      <c r="AH516" s="160"/>
      <c r="AI516" s="160"/>
      <c r="AJ516" s="161"/>
      <c r="AK516" s="162"/>
      <c r="AL516" s="165"/>
      <c r="AM516" s="166"/>
      <c r="AN516" s="165"/>
      <c r="AO516" s="160"/>
      <c r="AP516" s="162"/>
      <c r="AQ516" s="161"/>
      <c r="AR516" s="162"/>
      <c r="AS516" s="161"/>
      <c r="AT516" s="165"/>
      <c r="AU516" s="166"/>
      <c r="AV516" s="165"/>
      <c r="AW516" s="166"/>
      <c r="AX516" s="165"/>
      <c r="AY516" s="165"/>
      <c r="AZ516" s="165"/>
      <c r="BA516" s="165"/>
      <c r="BB516" s="166"/>
      <c r="BC516" s="165"/>
      <c r="BD516" s="165"/>
      <c r="BE516" s="165"/>
      <c r="BF516" s="165"/>
      <c r="BG516" s="165"/>
      <c r="BH516" s="165"/>
      <c r="BI516" s="165"/>
      <c r="BJ516" s="166"/>
      <c r="BK516" s="165"/>
      <c r="BL516" s="165"/>
      <c r="BM516" s="163"/>
      <c r="BN516" s="165"/>
      <c r="BO516" s="165">
        <v>201.97239999999999</v>
      </c>
      <c r="BP516" s="165"/>
      <c r="BQ516" s="167"/>
    </row>
    <row r="517" spans="1:69" ht="39.950000000000003" customHeight="1" outlineLevel="1" x14ac:dyDescent="0.3">
      <c r="A517" s="15" t="s">
        <v>649</v>
      </c>
      <c r="B517" s="12" t="s">
        <v>683</v>
      </c>
      <c r="C517" s="33" t="s">
        <v>30</v>
      </c>
      <c r="D517" s="66" t="s">
        <v>684</v>
      </c>
      <c r="E517" s="158">
        <f t="shared" si="107"/>
        <v>521.87405999999999</v>
      </c>
      <c r="F517" s="159">
        <f t="shared" si="108"/>
        <v>30.723410000000001</v>
      </c>
      <c r="G517" s="160">
        <f t="shared" si="109"/>
        <v>491.15064999999998</v>
      </c>
      <c r="H517" s="166"/>
      <c r="I517" s="165"/>
      <c r="J517" s="160"/>
      <c r="K517" s="160"/>
      <c r="L517" s="166">
        <v>30.723410000000001</v>
      </c>
      <c r="M517" s="165">
        <v>48.153320000000001</v>
      </c>
      <c r="N517" s="165"/>
      <c r="O517" s="165"/>
      <c r="P517" s="160"/>
      <c r="Q517" s="166"/>
      <c r="R517" s="165"/>
      <c r="S517" s="165"/>
      <c r="T517" s="159"/>
      <c r="U517" s="160"/>
      <c r="V517" s="165"/>
      <c r="W517" s="165">
        <v>440.96</v>
      </c>
      <c r="X517" s="160"/>
      <c r="Y517" s="166"/>
      <c r="Z517" s="160"/>
      <c r="AA517" s="160"/>
      <c r="AB517" s="165"/>
      <c r="AC517" s="165"/>
      <c r="AD517" s="165"/>
      <c r="AE517" s="165"/>
      <c r="AF517" s="160"/>
      <c r="AG517" s="160"/>
      <c r="AH517" s="160"/>
      <c r="AI517" s="160"/>
      <c r="AJ517" s="161"/>
      <c r="AK517" s="162"/>
      <c r="AL517" s="165"/>
      <c r="AM517" s="166"/>
      <c r="AN517" s="165"/>
      <c r="AO517" s="160"/>
      <c r="AP517" s="162"/>
      <c r="AQ517" s="161"/>
      <c r="AR517" s="162"/>
      <c r="AS517" s="161"/>
      <c r="AT517" s="165"/>
      <c r="AU517" s="166"/>
      <c r="AV517" s="165"/>
      <c r="AW517" s="166"/>
      <c r="AX517" s="165"/>
      <c r="AY517" s="165"/>
      <c r="AZ517" s="165"/>
      <c r="BA517" s="165">
        <v>2.0373299999999999</v>
      </c>
      <c r="BB517" s="166"/>
      <c r="BC517" s="165"/>
      <c r="BD517" s="165"/>
      <c r="BE517" s="165"/>
      <c r="BF517" s="165"/>
      <c r="BG517" s="165"/>
      <c r="BH517" s="165"/>
      <c r="BI517" s="165"/>
      <c r="BJ517" s="166"/>
      <c r="BK517" s="165"/>
      <c r="BL517" s="165"/>
      <c r="BM517" s="163"/>
      <c r="BN517" s="165"/>
      <c r="BO517" s="165"/>
      <c r="BP517" s="165"/>
      <c r="BQ517" s="167"/>
    </row>
    <row r="518" spans="1:69" ht="39.950000000000003" customHeight="1" outlineLevel="1" x14ac:dyDescent="0.3">
      <c r="A518" s="15" t="s">
        <v>649</v>
      </c>
      <c r="B518" s="12" t="s">
        <v>685</v>
      </c>
      <c r="C518" s="9" t="s">
        <v>30</v>
      </c>
      <c r="D518" s="68" t="s">
        <v>686</v>
      </c>
      <c r="E518" s="158">
        <f t="shared" si="107"/>
        <v>1430.09519</v>
      </c>
      <c r="F518" s="159">
        <f t="shared" si="108"/>
        <v>63.767499999999998</v>
      </c>
      <c r="G518" s="160">
        <f t="shared" si="109"/>
        <v>1366.3276900000001</v>
      </c>
      <c r="H518" s="166"/>
      <c r="I518" s="165"/>
      <c r="J518" s="160"/>
      <c r="K518" s="160"/>
      <c r="L518" s="166">
        <v>63.767499999999998</v>
      </c>
      <c r="M518" s="165">
        <v>99.943860000000001</v>
      </c>
      <c r="N518" s="165"/>
      <c r="O518" s="165"/>
      <c r="P518" s="160"/>
      <c r="Q518" s="166"/>
      <c r="R518" s="165"/>
      <c r="S518" s="165"/>
      <c r="T518" s="159"/>
      <c r="U518" s="160"/>
      <c r="V518" s="165"/>
      <c r="W518" s="165"/>
      <c r="X518" s="160"/>
      <c r="Y518" s="166"/>
      <c r="Z518" s="160"/>
      <c r="AA518" s="160"/>
      <c r="AB518" s="165"/>
      <c r="AC518" s="165"/>
      <c r="AD518" s="165"/>
      <c r="AE518" s="165"/>
      <c r="AF518" s="160"/>
      <c r="AG518" s="160"/>
      <c r="AH518" s="160"/>
      <c r="AI518" s="160"/>
      <c r="AJ518" s="161"/>
      <c r="AK518" s="162"/>
      <c r="AL518" s="165"/>
      <c r="AM518" s="166"/>
      <c r="AN518" s="165"/>
      <c r="AO518" s="160"/>
      <c r="AP518" s="162"/>
      <c r="AQ518" s="161"/>
      <c r="AR518" s="162"/>
      <c r="AS518" s="161"/>
      <c r="AT518" s="165"/>
      <c r="AU518" s="166"/>
      <c r="AV518" s="165"/>
      <c r="AW518" s="166"/>
      <c r="AX518" s="165"/>
      <c r="AY518" s="165"/>
      <c r="AZ518" s="165"/>
      <c r="BA518" s="165"/>
      <c r="BB518" s="166"/>
      <c r="BC518" s="165"/>
      <c r="BD518" s="165"/>
      <c r="BE518" s="165">
        <v>356.209</v>
      </c>
      <c r="BF518" s="165"/>
      <c r="BG518" s="165"/>
      <c r="BH518" s="165">
        <v>631.03345999999999</v>
      </c>
      <c r="BI518" s="165"/>
      <c r="BJ518" s="166"/>
      <c r="BK518" s="165"/>
      <c r="BL518" s="165"/>
      <c r="BM518" s="163"/>
      <c r="BN518" s="165"/>
      <c r="BO518" s="165">
        <v>279.14136999999999</v>
      </c>
      <c r="BP518" s="165"/>
      <c r="BQ518" s="167"/>
    </row>
    <row r="519" spans="1:69" ht="39.950000000000003" customHeight="1" outlineLevel="1" x14ac:dyDescent="0.3">
      <c r="A519" s="15" t="s">
        <v>649</v>
      </c>
      <c r="B519" s="12" t="s">
        <v>1566</v>
      </c>
      <c r="C519" s="9" t="s">
        <v>30</v>
      </c>
      <c r="D519" s="68">
        <v>242500031241</v>
      </c>
      <c r="E519" s="158">
        <f t="shared" si="107"/>
        <v>146.05662000000001</v>
      </c>
      <c r="F519" s="159">
        <f t="shared" si="108"/>
        <v>0</v>
      </c>
      <c r="G519" s="160">
        <f t="shared" si="109"/>
        <v>146.05662000000001</v>
      </c>
      <c r="H519" s="166"/>
      <c r="I519" s="165"/>
      <c r="J519" s="160"/>
      <c r="K519" s="160"/>
      <c r="L519" s="166"/>
      <c r="M519" s="165"/>
      <c r="N519" s="165"/>
      <c r="O519" s="165"/>
      <c r="P519" s="160"/>
      <c r="Q519" s="166"/>
      <c r="R519" s="165"/>
      <c r="S519" s="165"/>
      <c r="T519" s="159"/>
      <c r="U519" s="160"/>
      <c r="V519" s="165"/>
      <c r="W519" s="165"/>
      <c r="X519" s="160"/>
      <c r="Y519" s="166"/>
      <c r="Z519" s="160"/>
      <c r="AA519" s="160"/>
      <c r="AB519" s="165"/>
      <c r="AC519" s="165"/>
      <c r="AD519" s="165"/>
      <c r="AE519" s="165"/>
      <c r="AF519" s="160"/>
      <c r="AG519" s="160"/>
      <c r="AH519" s="160"/>
      <c r="AI519" s="160"/>
      <c r="AJ519" s="161"/>
      <c r="AK519" s="162"/>
      <c r="AL519" s="165"/>
      <c r="AM519" s="166"/>
      <c r="AN519" s="165"/>
      <c r="AO519" s="160"/>
      <c r="AP519" s="162"/>
      <c r="AQ519" s="161"/>
      <c r="AR519" s="162"/>
      <c r="AS519" s="161"/>
      <c r="AT519" s="165"/>
      <c r="AU519" s="166"/>
      <c r="AV519" s="165"/>
      <c r="AW519" s="166"/>
      <c r="AX519" s="165"/>
      <c r="AY519" s="165"/>
      <c r="AZ519" s="165"/>
      <c r="BA519" s="165"/>
      <c r="BB519" s="166"/>
      <c r="BC519" s="165"/>
      <c r="BD519" s="165"/>
      <c r="BE519" s="165"/>
      <c r="BF519" s="165"/>
      <c r="BG519" s="165">
        <v>146.05662000000001</v>
      </c>
      <c r="BH519" s="165"/>
      <c r="BI519" s="165"/>
      <c r="BJ519" s="166"/>
      <c r="BK519" s="165"/>
      <c r="BL519" s="165"/>
      <c r="BM519" s="163"/>
      <c r="BN519" s="165"/>
      <c r="BO519" s="165"/>
      <c r="BP519" s="165"/>
      <c r="BQ519" s="167"/>
    </row>
    <row r="520" spans="1:69" ht="39.950000000000003" customHeight="1" outlineLevel="1" x14ac:dyDescent="0.3">
      <c r="A520" s="15" t="s">
        <v>649</v>
      </c>
      <c r="B520" s="12" t="s">
        <v>687</v>
      </c>
      <c r="C520" s="9" t="s">
        <v>30</v>
      </c>
      <c r="D520" s="68" t="s">
        <v>688</v>
      </c>
      <c r="E520" s="158">
        <f t="shared" si="107"/>
        <v>388.60435999999993</v>
      </c>
      <c r="F520" s="159">
        <f t="shared" si="108"/>
        <v>68.597769999999997</v>
      </c>
      <c r="G520" s="160">
        <f t="shared" si="109"/>
        <v>320.00658999999996</v>
      </c>
      <c r="H520" s="166"/>
      <c r="I520" s="165"/>
      <c r="J520" s="160"/>
      <c r="K520" s="160"/>
      <c r="L520" s="166">
        <v>68.597769999999997</v>
      </c>
      <c r="M520" s="165">
        <v>107.51441</v>
      </c>
      <c r="N520" s="165"/>
      <c r="O520" s="165"/>
      <c r="P520" s="160"/>
      <c r="Q520" s="166"/>
      <c r="R520" s="165"/>
      <c r="S520" s="165"/>
      <c r="T520" s="159"/>
      <c r="U520" s="160"/>
      <c r="V520" s="165"/>
      <c r="W520" s="165"/>
      <c r="X520" s="160"/>
      <c r="Y520" s="166"/>
      <c r="Z520" s="160"/>
      <c r="AA520" s="160"/>
      <c r="AB520" s="165"/>
      <c r="AC520" s="165"/>
      <c r="AD520" s="165"/>
      <c r="AE520" s="165"/>
      <c r="AF520" s="160"/>
      <c r="AG520" s="160"/>
      <c r="AH520" s="160"/>
      <c r="AI520" s="160"/>
      <c r="AJ520" s="161"/>
      <c r="AK520" s="162"/>
      <c r="AL520" s="165"/>
      <c r="AM520" s="166"/>
      <c r="AN520" s="165"/>
      <c r="AO520" s="160"/>
      <c r="AP520" s="162"/>
      <c r="AQ520" s="161"/>
      <c r="AR520" s="162"/>
      <c r="AS520" s="161"/>
      <c r="AT520" s="165"/>
      <c r="AU520" s="166"/>
      <c r="AV520" s="165"/>
      <c r="AW520" s="166"/>
      <c r="AX520" s="165"/>
      <c r="AY520" s="165"/>
      <c r="AZ520" s="165"/>
      <c r="BA520" s="165"/>
      <c r="BB520" s="166"/>
      <c r="BC520" s="165"/>
      <c r="BD520" s="165"/>
      <c r="BE520" s="165">
        <v>212.49217999999999</v>
      </c>
      <c r="BF520" s="165"/>
      <c r="BG520" s="165"/>
      <c r="BH520" s="165"/>
      <c r="BI520" s="165"/>
      <c r="BJ520" s="166"/>
      <c r="BK520" s="165"/>
      <c r="BL520" s="165"/>
      <c r="BM520" s="163"/>
      <c r="BN520" s="165"/>
      <c r="BO520" s="165"/>
      <c r="BP520" s="165"/>
      <c r="BQ520" s="167"/>
    </row>
    <row r="521" spans="1:69" ht="39.950000000000003" customHeight="1" outlineLevel="1" x14ac:dyDescent="0.3">
      <c r="A521" s="15" t="s">
        <v>649</v>
      </c>
      <c r="B521" s="12" t="s">
        <v>689</v>
      </c>
      <c r="C521" s="9" t="s">
        <v>30</v>
      </c>
      <c r="D521" s="68" t="s">
        <v>690</v>
      </c>
      <c r="E521" s="158">
        <f t="shared" si="107"/>
        <v>58.24</v>
      </c>
      <c r="F521" s="159">
        <f t="shared" si="108"/>
        <v>0</v>
      </c>
      <c r="G521" s="160">
        <f t="shared" si="109"/>
        <v>58.24</v>
      </c>
      <c r="H521" s="166"/>
      <c r="I521" s="165"/>
      <c r="J521" s="160"/>
      <c r="K521" s="160"/>
      <c r="L521" s="166"/>
      <c r="M521" s="165"/>
      <c r="N521" s="165"/>
      <c r="O521" s="165"/>
      <c r="P521" s="160"/>
      <c r="Q521" s="166"/>
      <c r="R521" s="165"/>
      <c r="S521" s="165"/>
      <c r="T521" s="159"/>
      <c r="U521" s="160"/>
      <c r="V521" s="165"/>
      <c r="W521" s="165">
        <v>58.24</v>
      </c>
      <c r="X521" s="160"/>
      <c r="Y521" s="166"/>
      <c r="Z521" s="160"/>
      <c r="AA521" s="160"/>
      <c r="AB521" s="165"/>
      <c r="AC521" s="165"/>
      <c r="AD521" s="165"/>
      <c r="AE521" s="165"/>
      <c r="AF521" s="160"/>
      <c r="AG521" s="160"/>
      <c r="AH521" s="160"/>
      <c r="AI521" s="160"/>
      <c r="AJ521" s="161"/>
      <c r="AK521" s="162"/>
      <c r="AL521" s="165"/>
      <c r="AM521" s="166"/>
      <c r="AN521" s="165"/>
      <c r="AO521" s="160"/>
      <c r="AP521" s="162"/>
      <c r="AQ521" s="161"/>
      <c r="AR521" s="162"/>
      <c r="AS521" s="161"/>
      <c r="AT521" s="165"/>
      <c r="AU521" s="166"/>
      <c r="AV521" s="165"/>
      <c r="AW521" s="166"/>
      <c r="AX521" s="165"/>
      <c r="AY521" s="165"/>
      <c r="AZ521" s="165"/>
      <c r="BA521" s="165"/>
      <c r="BB521" s="166"/>
      <c r="BC521" s="165"/>
      <c r="BD521" s="165"/>
      <c r="BE521" s="165"/>
      <c r="BF521" s="165"/>
      <c r="BG521" s="165"/>
      <c r="BH521" s="165"/>
      <c r="BI521" s="165"/>
      <c r="BJ521" s="166"/>
      <c r="BK521" s="165"/>
      <c r="BL521" s="165"/>
      <c r="BM521" s="163"/>
      <c r="BN521" s="165"/>
      <c r="BO521" s="165"/>
      <c r="BP521" s="165"/>
      <c r="BQ521" s="167"/>
    </row>
    <row r="522" spans="1:69" ht="39.950000000000003" customHeight="1" outlineLevel="1" x14ac:dyDescent="0.3">
      <c r="A522" s="15" t="s">
        <v>649</v>
      </c>
      <c r="B522" s="12" t="s">
        <v>1159</v>
      </c>
      <c r="C522" s="9" t="s">
        <v>30</v>
      </c>
      <c r="D522" s="9" t="s">
        <v>1218</v>
      </c>
      <c r="E522" s="158">
        <f t="shared" si="107"/>
        <v>199.64947000000001</v>
      </c>
      <c r="F522" s="159">
        <f t="shared" si="108"/>
        <v>38.351999999999997</v>
      </c>
      <c r="G522" s="160">
        <f t="shared" si="109"/>
        <v>161.29747</v>
      </c>
      <c r="H522" s="166"/>
      <c r="I522" s="165"/>
      <c r="J522" s="160"/>
      <c r="K522" s="160"/>
      <c r="L522" s="166"/>
      <c r="M522" s="165"/>
      <c r="N522" s="165"/>
      <c r="O522" s="165"/>
      <c r="P522" s="160"/>
      <c r="Q522" s="166"/>
      <c r="R522" s="165"/>
      <c r="S522" s="165"/>
      <c r="T522" s="159"/>
      <c r="U522" s="160"/>
      <c r="V522" s="165"/>
      <c r="W522" s="165"/>
      <c r="X522" s="160"/>
      <c r="Y522" s="166">
        <v>38.351999999999997</v>
      </c>
      <c r="Z522" s="160">
        <v>12.784000000000001</v>
      </c>
      <c r="AA522" s="160">
        <v>148.51347000000001</v>
      </c>
      <c r="AB522" s="165"/>
      <c r="AC522" s="165"/>
      <c r="AD522" s="165"/>
      <c r="AE522" s="165"/>
      <c r="AF522" s="160"/>
      <c r="AG522" s="160"/>
      <c r="AH522" s="160"/>
      <c r="AI522" s="160"/>
      <c r="AJ522" s="161"/>
      <c r="AK522" s="162"/>
      <c r="AL522" s="165"/>
      <c r="AM522" s="166"/>
      <c r="AN522" s="165"/>
      <c r="AO522" s="160"/>
      <c r="AP522" s="162"/>
      <c r="AQ522" s="161"/>
      <c r="AR522" s="162"/>
      <c r="AS522" s="161"/>
      <c r="AT522" s="165"/>
      <c r="AU522" s="166"/>
      <c r="AV522" s="165"/>
      <c r="AW522" s="166"/>
      <c r="AX522" s="165"/>
      <c r="AY522" s="165"/>
      <c r="AZ522" s="165"/>
      <c r="BA522" s="165"/>
      <c r="BB522" s="166"/>
      <c r="BC522" s="165"/>
      <c r="BD522" s="165"/>
      <c r="BE522" s="165"/>
      <c r="BF522" s="165"/>
      <c r="BG522" s="165"/>
      <c r="BH522" s="165"/>
      <c r="BI522" s="165"/>
      <c r="BJ522" s="166"/>
      <c r="BK522" s="165"/>
      <c r="BL522" s="165"/>
      <c r="BM522" s="163"/>
      <c r="BN522" s="165"/>
      <c r="BO522" s="165"/>
      <c r="BP522" s="165"/>
      <c r="BQ522" s="167"/>
    </row>
    <row r="523" spans="1:69" ht="39.950000000000003" customHeight="1" outlineLevel="1" x14ac:dyDescent="0.3">
      <c r="A523" s="17" t="s">
        <v>649</v>
      </c>
      <c r="B523" s="12" t="s">
        <v>676</v>
      </c>
      <c r="C523" s="9" t="s">
        <v>30</v>
      </c>
      <c r="D523" s="68" t="s">
        <v>677</v>
      </c>
      <c r="E523" s="158">
        <f t="shared" si="107"/>
        <v>76.858559999999997</v>
      </c>
      <c r="F523" s="159">
        <f t="shared" si="108"/>
        <v>29.93731</v>
      </c>
      <c r="G523" s="160">
        <f t="shared" si="109"/>
        <v>46.921250000000001</v>
      </c>
      <c r="H523" s="166"/>
      <c r="I523" s="165"/>
      <c r="J523" s="160"/>
      <c r="K523" s="160"/>
      <c r="L523" s="166">
        <v>29.93731</v>
      </c>
      <c r="M523" s="165">
        <v>46.921250000000001</v>
      </c>
      <c r="N523" s="165"/>
      <c r="O523" s="165"/>
      <c r="P523" s="160"/>
      <c r="Q523" s="166"/>
      <c r="R523" s="165"/>
      <c r="S523" s="165"/>
      <c r="T523" s="159"/>
      <c r="U523" s="160"/>
      <c r="V523" s="165"/>
      <c r="W523" s="165"/>
      <c r="X523" s="160"/>
      <c r="Y523" s="166"/>
      <c r="Z523" s="160"/>
      <c r="AA523" s="160"/>
      <c r="AB523" s="165"/>
      <c r="AC523" s="165"/>
      <c r="AD523" s="165"/>
      <c r="AE523" s="165"/>
      <c r="AF523" s="160"/>
      <c r="AG523" s="160"/>
      <c r="AH523" s="160"/>
      <c r="AI523" s="160"/>
      <c r="AJ523" s="161"/>
      <c r="AK523" s="162"/>
      <c r="AL523" s="165"/>
      <c r="AM523" s="166"/>
      <c r="AN523" s="165"/>
      <c r="AO523" s="160"/>
      <c r="AP523" s="162"/>
      <c r="AQ523" s="161"/>
      <c r="AR523" s="162"/>
      <c r="AS523" s="161"/>
      <c r="AT523" s="165"/>
      <c r="AU523" s="166"/>
      <c r="AV523" s="165"/>
      <c r="AW523" s="166"/>
      <c r="AX523" s="165"/>
      <c r="AY523" s="165"/>
      <c r="AZ523" s="165"/>
      <c r="BA523" s="165"/>
      <c r="BB523" s="166"/>
      <c r="BC523" s="165"/>
      <c r="BD523" s="165"/>
      <c r="BE523" s="165"/>
      <c r="BF523" s="165"/>
      <c r="BG523" s="165"/>
      <c r="BH523" s="165"/>
      <c r="BI523" s="165"/>
      <c r="BJ523" s="166"/>
      <c r="BK523" s="165"/>
      <c r="BL523" s="165"/>
      <c r="BM523" s="163"/>
      <c r="BN523" s="165"/>
      <c r="BO523" s="165"/>
      <c r="BP523" s="165"/>
      <c r="BQ523" s="167"/>
    </row>
    <row r="524" spans="1:69" ht="39.950000000000003" customHeight="1" outlineLevel="1" x14ac:dyDescent="0.3">
      <c r="A524" s="17" t="s">
        <v>649</v>
      </c>
      <c r="B524" s="12" t="s">
        <v>696</v>
      </c>
      <c r="C524" s="21" t="s">
        <v>30</v>
      </c>
      <c r="D524" s="67">
        <v>245510051250</v>
      </c>
      <c r="E524" s="158">
        <f t="shared" si="107"/>
        <v>323.07671999999997</v>
      </c>
      <c r="F524" s="159">
        <f t="shared" si="108"/>
        <v>56.71904</v>
      </c>
      <c r="G524" s="160">
        <f t="shared" si="109"/>
        <v>266.35767999999996</v>
      </c>
      <c r="H524" s="166"/>
      <c r="I524" s="165"/>
      <c r="J524" s="160"/>
      <c r="K524" s="160"/>
      <c r="L524" s="166"/>
      <c r="M524" s="165"/>
      <c r="N524" s="165"/>
      <c r="O524" s="165"/>
      <c r="P524" s="160"/>
      <c r="Q524" s="166"/>
      <c r="R524" s="165"/>
      <c r="S524" s="165"/>
      <c r="T524" s="159"/>
      <c r="U524" s="160"/>
      <c r="V524" s="165"/>
      <c r="W524" s="165"/>
      <c r="X524" s="160"/>
      <c r="Y524" s="166">
        <v>56.71904</v>
      </c>
      <c r="Z524" s="160">
        <v>18.90634</v>
      </c>
      <c r="AA524" s="160">
        <v>247.45133999999999</v>
      </c>
      <c r="AB524" s="165"/>
      <c r="AC524" s="165"/>
      <c r="AD524" s="165"/>
      <c r="AE524" s="165"/>
      <c r="AF524" s="160"/>
      <c r="AG524" s="160"/>
      <c r="AH524" s="160"/>
      <c r="AI524" s="160"/>
      <c r="AJ524" s="161"/>
      <c r="AK524" s="162"/>
      <c r="AL524" s="165"/>
      <c r="AM524" s="166"/>
      <c r="AN524" s="165"/>
      <c r="AO524" s="160"/>
      <c r="AP524" s="162"/>
      <c r="AQ524" s="161"/>
      <c r="AR524" s="162"/>
      <c r="AS524" s="161"/>
      <c r="AT524" s="165"/>
      <c r="AU524" s="166"/>
      <c r="AV524" s="165"/>
      <c r="AW524" s="166"/>
      <c r="AX524" s="165"/>
      <c r="AY524" s="165"/>
      <c r="AZ524" s="165"/>
      <c r="BA524" s="165"/>
      <c r="BB524" s="166"/>
      <c r="BC524" s="165"/>
      <c r="BD524" s="165"/>
      <c r="BE524" s="165"/>
      <c r="BF524" s="165"/>
      <c r="BG524" s="165"/>
      <c r="BH524" s="165"/>
      <c r="BI524" s="165"/>
      <c r="BJ524" s="166"/>
      <c r="BK524" s="165"/>
      <c r="BL524" s="165"/>
      <c r="BM524" s="163"/>
      <c r="BN524" s="165"/>
      <c r="BO524" s="165"/>
      <c r="BP524" s="165"/>
      <c r="BQ524" s="167"/>
    </row>
    <row r="525" spans="1:69" ht="39.950000000000003" customHeight="1" outlineLevel="1" x14ac:dyDescent="0.3">
      <c r="A525" s="17" t="s">
        <v>649</v>
      </c>
      <c r="B525" s="12" t="s">
        <v>693</v>
      </c>
      <c r="C525" s="9" t="s">
        <v>30</v>
      </c>
      <c r="D525" s="68" t="s">
        <v>694</v>
      </c>
      <c r="E525" s="158">
        <f t="shared" si="107"/>
        <v>403.12823000000003</v>
      </c>
      <c r="F525" s="159">
        <f t="shared" si="108"/>
        <v>280.35523000000001</v>
      </c>
      <c r="G525" s="160">
        <f t="shared" si="109"/>
        <v>122.773</v>
      </c>
      <c r="H525" s="166">
        <v>256.59375</v>
      </c>
      <c r="I525" s="165">
        <v>85.53125</v>
      </c>
      <c r="J525" s="160"/>
      <c r="K525" s="160"/>
      <c r="L525" s="166">
        <v>23.761479999999999</v>
      </c>
      <c r="M525" s="165">
        <v>37.241750000000003</v>
      </c>
      <c r="N525" s="165"/>
      <c r="O525" s="165"/>
      <c r="P525" s="160"/>
      <c r="Q525" s="166"/>
      <c r="R525" s="165"/>
      <c r="S525" s="165"/>
      <c r="T525" s="159"/>
      <c r="U525" s="160"/>
      <c r="V525" s="165"/>
      <c r="W525" s="165"/>
      <c r="X525" s="160"/>
      <c r="Y525" s="166"/>
      <c r="Z525" s="160"/>
      <c r="AA525" s="160"/>
      <c r="AB525" s="165"/>
      <c r="AC525" s="165"/>
      <c r="AD525" s="165"/>
      <c r="AE525" s="165"/>
      <c r="AF525" s="160"/>
      <c r="AG525" s="160"/>
      <c r="AH525" s="160"/>
      <c r="AI525" s="160"/>
      <c r="AJ525" s="161"/>
      <c r="AK525" s="162"/>
      <c r="AL525" s="165"/>
      <c r="AM525" s="166"/>
      <c r="AN525" s="165"/>
      <c r="AO525" s="160"/>
      <c r="AP525" s="162"/>
      <c r="AQ525" s="161"/>
      <c r="AR525" s="162"/>
      <c r="AS525" s="161"/>
      <c r="AT525" s="165"/>
      <c r="AU525" s="166"/>
      <c r="AV525" s="165"/>
      <c r="AW525" s="166"/>
      <c r="AX525" s="165"/>
      <c r="AY525" s="165"/>
      <c r="AZ525" s="165"/>
      <c r="BA525" s="165"/>
      <c r="BB525" s="166"/>
      <c r="BC525" s="165"/>
      <c r="BD525" s="165"/>
      <c r="BE525" s="165"/>
      <c r="BF525" s="165"/>
      <c r="BG525" s="165"/>
      <c r="BH525" s="165"/>
      <c r="BI525" s="165"/>
      <c r="BJ525" s="166"/>
      <c r="BK525" s="165"/>
      <c r="BL525" s="165"/>
      <c r="BM525" s="163"/>
      <c r="BN525" s="165"/>
      <c r="BO525" s="165"/>
      <c r="BP525" s="165"/>
      <c r="BQ525" s="167"/>
    </row>
    <row r="526" spans="1:69" ht="39.950000000000003" customHeight="1" outlineLevel="1" x14ac:dyDescent="0.3">
      <c r="A526" s="17" t="s">
        <v>649</v>
      </c>
      <c r="B526" s="12" t="s">
        <v>702</v>
      </c>
      <c r="C526" s="9" t="s">
        <v>30</v>
      </c>
      <c r="D526" s="68" t="s">
        <v>703</v>
      </c>
      <c r="E526" s="158">
        <f t="shared" si="107"/>
        <v>6740.3699699999997</v>
      </c>
      <c r="F526" s="159">
        <f t="shared" si="108"/>
        <v>1684.2239</v>
      </c>
      <c r="G526" s="160">
        <f t="shared" si="109"/>
        <v>5056.1460699999998</v>
      </c>
      <c r="H526" s="166">
        <v>1469.59575</v>
      </c>
      <c r="I526" s="165">
        <v>489.86525</v>
      </c>
      <c r="J526" s="160"/>
      <c r="K526" s="160"/>
      <c r="L526" s="166">
        <v>214.62815000000001</v>
      </c>
      <c r="M526" s="165">
        <v>336.39026000000001</v>
      </c>
      <c r="N526" s="165"/>
      <c r="O526" s="165">
        <v>406</v>
      </c>
      <c r="P526" s="160"/>
      <c r="Q526" s="166"/>
      <c r="R526" s="165"/>
      <c r="S526" s="165">
        <v>169.2</v>
      </c>
      <c r="T526" s="159"/>
      <c r="U526" s="160"/>
      <c r="V526" s="165"/>
      <c r="W526" s="165"/>
      <c r="X526" s="160"/>
      <c r="Y526" s="166"/>
      <c r="Z526" s="160"/>
      <c r="AA526" s="160"/>
      <c r="AB526" s="165"/>
      <c r="AC526" s="165"/>
      <c r="AD526" s="165"/>
      <c r="AE526" s="165"/>
      <c r="AF526" s="160"/>
      <c r="AG526" s="160"/>
      <c r="AH526" s="160"/>
      <c r="AI526" s="160"/>
      <c r="AJ526" s="161"/>
      <c r="AK526" s="162"/>
      <c r="AL526" s="165"/>
      <c r="AM526" s="166"/>
      <c r="AN526" s="165"/>
      <c r="AO526" s="160"/>
      <c r="AP526" s="162"/>
      <c r="AQ526" s="161"/>
      <c r="AR526" s="162"/>
      <c r="AS526" s="161"/>
      <c r="AT526" s="165"/>
      <c r="AU526" s="166"/>
      <c r="AV526" s="165"/>
      <c r="AW526" s="166"/>
      <c r="AX526" s="165"/>
      <c r="AY526" s="165"/>
      <c r="AZ526" s="165"/>
      <c r="BA526" s="165"/>
      <c r="BB526" s="166"/>
      <c r="BC526" s="165"/>
      <c r="BD526" s="165"/>
      <c r="BE526" s="165"/>
      <c r="BF526" s="165"/>
      <c r="BG526" s="165"/>
      <c r="BH526" s="165">
        <v>2600</v>
      </c>
      <c r="BI526" s="165"/>
      <c r="BJ526" s="166"/>
      <c r="BK526" s="165"/>
      <c r="BL526" s="165"/>
      <c r="BM526" s="163"/>
      <c r="BN526" s="165"/>
      <c r="BO526" s="165">
        <v>1054.69056</v>
      </c>
      <c r="BP526" s="165"/>
      <c r="BQ526" s="167"/>
    </row>
    <row r="527" spans="1:69" ht="39.950000000000003" customHeight="1" outlineLevel="1" x14ac:dyDescent="0.3">
      <c r="A527" s="17" t="s">
        <v>649</v>
      </c>
      <c r="B527" s="12" t="s">
        <v>691</v>
      </c>
      <c r="C527" s="9" t="s">
        <v>30</v>
      </c>
      <c r="D527" s="68" t="s">
        <v>692</v>
      </c>
      <c r="E527" s="158">
        <f t="shared" si="107"/>
        <v>0.76323999999999992</v>
      </c>
      <c r="F527" s="159">
        <f t="shared" si="108"/>
        <v>0.29729</v>
      </c>
      <c r="G527" s="160">
        <f t="shared" si="109"/>
        <v>0.46594999999999998</v>
      </c>
      <c r="H527" s="166"/>
      <c r="I527" s="165"/>
      <c r="J527" s="160"/>
      <c r="K527" s="160"/>
      <c r="L527" s="166">
        <v>0.29729</v>
      </c>
      <c r="M527" s="165">
        <v>0.46594999999999998</v>
      </c>
      <c r="N527" s="165"/>
      <c r="O527" s="165"/>
      <c r="P527" s="160"/>
      <c r="Q527" s="166"/>
      <c r="R527" s="165"/>
      <c r="S527" s="165"/>
      <c r="T527" s="159"/>
      <c r="U527" s="160"/>
      <c r="V527" s="165"/>
      <c r="W527" s="165"/>
      <c r="X527" s="160"/>
      <c r="Y527" s="166"/>
      <c r="Z527" s="160"/>
      <c r="AA527" s="160"/>
      <c r="AB527" s="165"/>
      <c r="AC527" s="165"/>
      <c r="AD527" s="165"/>
      <c r="AE527" s="165"/>
      <c r="AF527" s="160"/>
      <c r="AG527" s="160"/>
      <c r="AH527" s="160"/>
      <c r="AI527" s="160"/>
      <c r="AJ527" s="161"/>
      <c r="AK527" s="162"/>
      <c r="AL527" s="165"/>
      <c r="AM527" s="166"/>
      <c r="AN527" s="165"/>
      <c r="AO527" s="160"/>
      <c r="AP527" s="162"/>
      <c r="AQ527" s="161"/>
      <c r="AR527" s="162"/>
      <c r="AS527" s="161"/>
      <c r="AT527" s="165"/>
      <c r="AU527" s="166"/>
      <c r="AV527" s="165"/>
      <c r="AW527" s="166"/>
      <c r="AX527" s="165"/>
      <c r="AY527" s="165"/>
      <c r="AZ527" s="165"/>
      <c r="BA527" s="165"/>
      <c r="BB527" s="166"/>
      <c r="BC527" s="165"/>
      <c r="BD527" s="165"/>
      <c r="BE527" s="165"/>
      <c r="BF527" s="165"/>
      <c r="BG527" s="165"/>
      <c r="BH527" s="165"/>
      <c r="BI527" s="165"/>
      <c r="BJ527" s="166"/>
      <c r="BK527" s="165"/>
      <c r="BL527" s="165"/>
      <c r="BM527" s="163"/>
      <c r="BN527" s="165"/>
      <c r="BO527" s="165"/>
      <c r="BP527" s="165"/>
      <c r="BQ527" s="167"/>
    </row>
    <row r="528" spans="1:69" ht="39.950000000000003" customHeight="1" outlineLevel="1" x14ac:dyDescent="0.3">
      <c r="A528" s="17" t="s">
        <v>649</v>
      </c>
      <c r="B528" s="12" t="s">
        <v>695</v>
      </c>
      <c r="C528" s="9" t="s">
        <v>30</v>
      </c>
      <c r="D528" s="74" t="s">
        <v>1221</v>
      </c>
      <c r="E528" s="158">
        <f t="shared" si="107"/>
        <v>271.60283999999996</v>
      </c>
      <c r="F528" s="159">
        <f t="shared" si="108"/>
        <v>50.402430000000003</v>
      </c>
      <c r="G528" s="160">
        <f t="shared" si="109"/>
        <v>221.20040999999998</v>
      </c>
      <c r="H528" s="166"/>
      <c r="I528" s="165"/>
      <c r="J528" s="160"/>
      <c r="K528" s="160"/>
      <c r="L528" s="166"/>
      <c r="M528" s="165"/>
      <c r="N528" s="165"/>
      <c r="O528" s="165"/>
      <c r="P528" s="160"/>
      <c r="Q528" s="166"/>
      <c r="R528" s="165"/>
      <c r="S528" s="165"/>
      <c r="T528" s="159"/>
      <c r="U528" s="160"/>
      <c r="V528" s="165"/>
      <c r="W528" s="165"/>
      <c r="X528" s="160"/>
      <c r="Y528" s="166">
        <v>50.402430000000003</v>
      </c>
      <c r="Z528" s="160">
        <v>16.800809999999998</v>
      </c>
      <c r="AA528" s="160">
        <v>204.39959999999999</v>
      </c>
      <c r="AB528" s="165"/>
      <c r="AC528" s="165"/>
      <c r="AD528" s="165"/>
      <c r="AE528" s="165"/>
      <c r="AF528" s="160"/>
      <c r="AG528" s="160"/>
      <c r="AH528" s="160"/>
      <c r="AI528" s="160"/>
      <c r="AJ528" s="161"/>
      <c r="AK528" s="162"/>
      <c r="AL528" s="165"/>
      <c r="AM528" s="166"/>
      <c r="AN528" s="165"/>
      <c r="AO528" s="160"/>
      <c r="AP528" s="162"/>
      <c r="AQ528" s="161"/>
      <c r="AR528" s="162"/>
      <c r="AS528" s="161"/>
      <c r="AT528" s="165"/>
      <c r="AU528" s="166"/>
      <c r="AV528" s="165"/>
      <c r="AW528" s="166"/>
      <c r="AX528" s="165"/>
      <c r="AY528" s="165"/>
      <c r="AZ528" s="165"/>
      <c r="BA528" s="165"/>
      <c r="BB528" s="166"/>
      <c r="BC528" s="165"/>
      <c r="BD528" s="165"/>
      <c r="BE528" s="165"/>
      <c r="BF528" s="165"/>
      <c r="BG528" s="165"/>
      <c r="BH528" s="165"/>
      <c r="BI528" s="165"/>
      <c r="BJ528" s="166"/>
      <c r="BK528" s="165"/>
      <c r="BL528" s="165"/>
      <c r="BM528" s="163"/>
      <c r="BN528" s="165"/>
      <c r="BO528" s="165"/>
      <c r="BP528" s="165"/>
      <c r="BQ528" s="167"/>
    </row>
    <row r="529" spans="1:69" ht="39.950000000000003" customHeight="1" outlineLevel="1" x14ac:dyDescent="0.3">
      <c r="A529" s="15" t="s">
        <v>649</v>
      </c>
      <c r="B529" s="12" t="s">
        <v>672</v>
      </c>
      <c r="C529" s="9" t="s">
        <v>30</v>
      </c>
      <c r="D529" s="66" t="s">
        <v>673</v>
      </c>
      <c r="E529" s="158">
        <f t="shared" si="107"/>
        <v>108.16</v>
      </c>
      <c r="F529" s="159">
        <f t="shared" si="108"/>
        <v>0</v>
      </c>
      <c r="G529" s="160">
        <f t="shared" si="109"/>
        <v>108.16</v>
      </c>
      <c r="H529" s="166"/>
      <c r="I529" s="165"/>
      <c r="J529" s="160"/>
      <c r="K529" s="160"/>
      <c r="L529" s="166"/>
      <c r="M529" s="165"/>
      <c r="N529" s="165"/>
      <c r="O529" s="165"/>
      <c r="P529" s="160"/>
      <c r="Q529" s="166"/>
      <c r="R529" s="165"/>
      <c r="S529" s="165"/>
      <c r="T529" s="159"/>
      <c r="U529" s="160"/>
      <c r="V529" s="165"/>
      <c r="W529" s="165">
        <v>108.16</v>
      </c>
      <c r="X529" s="160"/>
      <c r="Y529" s="166"/>
      <c r="Z529" s="160"/>
      <c r="AA529" s="160"/>
      <c r="AB529" s="165"/>
      <c r="AC529" s="165"/>
      <c r="AD529" s="165"/>
      <c r="AE529" s="165"/>
      <c r="AF529" s="160"/>
      <c r="AG529" s="160"/>
      <c r="AH529" s="160"/>
      <c r="AI529" s="160"/>
      <c r="AJ529" s="161"/>
      <c r="AK529" s="162"/>
      <c r="AL529" s="165"/>
      <c r="AM529" s="166"/>
      <c r="AN529" s="165"/>
      <c r="AO529" s="160"/>
      <c r="AP529" s="162"/>
      <c r="AQ529" s="161"/>
      <c r="AR529" s="162"/>
      <c r="AS529" s="161"/>
      <c r="AT529" s="165"/>
      <c r="AU529" s="166"/>
      <c r="AV529" s="165"/>
      <c r="AW529" s="166"/>
      <c r="AX529" s="165"/>
      <c r="AY529" s="165"/>
      <c r="AZ529" s="165"/>
      <c r="BA529" s="165"/>
      <c r="BB529" s="166"/>
      <c r="BC529" s="165"/>
      <c r="BD529" s="165"/>
      <c r="BE529" s="165"/>
      <c r="BF529" s="165"/>
      <c r="BG529" s="165"/>
      <c r="BH529" s="165"/>
      <c r="BI529" s="165"/>
      <c r="BJ529" s="166"/>
      <c r="BK529" s="165"/>
      <c r="BL529" s="165"/>
      <c r="BM529" s="163"/>
      <c r="BN529" s="165"/>
      <c r="BO529" s="165"/>
      <c r="BP529" s="165"/>
      <c r="BQ529" s="167"/>
    </row>
    <row r="530" spans="1:69" ht="39.950000000000003" customHeight="1" outlineLevel="1" x14ac:dyDescent="0.3">
      <c r="A530" s="15" t="s">
        <v>649</v>
      </c>
      <c r="B530" s="82" t="s">
        <v>1463</v>
      </c>
      <c r="C530" s="9" t="s">
        <v>28</v>
      </c>
      <c r="D530" s="88" t="s">
        <v>1464</v>
      </c>
      <c r="E530" s="158">
        <f t="shared" si="107"/>
        <v>617.75692000000004</v>
      </c>
      <c r="F530" s="159">
        <f t="shared" si="108"/>
        <v>0</v>
      </c>
      <c r="G530" s="160">
        <f t="shared" si="109"/>
        <v>617.75692000000004</v>
      </c>
      <c r="H530" s="166"/>
      <c r="I530" s="165"/>
      <c r="J530" s="160"/>
      <c r="K530" s="160"/>
      <c r="L530" s="166"/>
      <c r="M530" s="165"/>
      <c r="N530" s="165"/>
      <c r="O530" s="165"/>
      <c r="P530" s="160"/>
      <c r="Q530" s="166"/>
      <c r="R530" s="165"/>
      <c r="S530" s="165"/>
      <c r="T530" s="159"/>
      <c r="U530" s="160"/>
      <c r="V530" s="165"/>
      <c r="W530" s="165"/>
      <c r="X530" s="160"/>
      <c r="Y530" s="166"/>
      <c r="Z530" s="160"/>
      <c r="AA530" s="160"/>
      <c r="AB530" s="165"/>
      <c r="AC530" s="165"/>
      <c r="AD530" s="165"/>
      <c r="AE530" s="165"/>
      <c r="AF530" s="160"/>
      <c r="AG530" s="160"/>
      <c r="AH530" s="160"/>
      <c r="AI530" s="160"/>
      <c r="AJ530" s="161"/>
      <c r="AK530" s="162"/>
      <c r="AL530" s="165"/>
      <c r="AM530" s="166"/>
      <c r="AN530" s="165"/>
      <c r="AO530" s="160"/>
      <c r="AP530" s="162"/>
      <c r="AQ530" s="161"/>
      <c r="AR530" s="162"/>
      <c r="AS530" s="161"/>
      <c r="AT530" s="165"/>
      <c r="AU530" s="166"/>
      <c r="AV530" s="165"/>
      <c r="AW530" s="166"/>
      <c r="AX530" s="165"/>
      <c r="AY530" s="165"/>
      <c r="AZ530" s="165"/>
      <c r="BA530" s="165"/>
      <c r="BB530" s="166"/>
      <c r="BC530" s="165"/>
      <c r="BD530" s="165"/>
      <c r="BE530" s="165">
        <v>617.75692000000004</v>
      </c>
      <c r="BF530" s="165"/>
      <c r="BG530" s="165"/>
      <c r="BH530" s="165"/>
      <c r="BI530" s="165"/>
      <c r="BJ530" s="166"/>
      <c r="BK530" s="165"/>
      <c r="BL530" s="165"/>
      <c r="BM530" s="163"/>
      <c r="BN530" s="165"/>
      <c r="BO530" s="165"/>
      <c r="BP530" s="165"/>
      <c r="BQ530" s="167"/>
    </row>
    <row r="531" spans="1:69" ht="39.950000000000003" customHeight="1" outlineLevel="1" x14ac:dyDescent="0.3">
      <c r="A531" s="15" t="s">
        <v>649</v>
      </c>
      <c r="B531" s="12" t="s">
        <v>713</v>
      </c>
      <c r="C531" s="9" t="s">
        <v>87</v>
      </c>
      <c r="D531" s="66" t="s">
        <v>714</v>
      </c>
      <c r="E531" s="158">
        <f t="shared" si="107"/>
        <v>7367.3709699999999</v>
      </c>
      <c r="F531" s="159">
        <f t="shared" si="108"/>
        <v>0</v>
      </c>
      <c r="G531" s="160">
        <f t="shared" si="109"/>
        <v>7367.3709699999999</v>
      </c>
      <c r="H531" s="166"/>
      <c r="I531" s="165"/>
      <c r="J531" s="160"/>
      <c r="K531" s="160"/>
      <c r="L531" s="166"/>
      <c r="M531" s="165"/>
      <c r="N531" s="165"/>
      <c r="O531" s="165"/>
      <c r="P531" s="160"/>
      <c r="Q531" s="166"/>
      <c r="R531" s="165"/>
      <c r="S531" s="165"/>
      <c r="T531" s="159"/>
      <c r="U531" s="160"/>
      <c r="V531" s="165"/>
      <c r="W531" s="165"/>
      <c r="X531" s="160"/>
      <c r="Y531" s="166"/>
      <c r="Z531" s="160"/>
      <c r="AA531" s="160"/>
      <c r="AB531" s="165"/>
      <c r="AC531" s="165"/>
      <c r="AD531" s="165"/>
      <c r="AE531" s="165"/>
      <c r="AF531" s="160">
        <v>2177.2280000000001</v>
      </c>
      <c r="AG531" s="160"/>
      <c r="AH531" s="160"/>
      <c r="AI531" s="160"/>
      <c r="AJ531" s="161"/>
      <c r="AK531" s="162"/>
      <c r="AL531" s="165"/>
      <c r="AM531" s="166"/>
      <c r="AN531" s="165"/>
      <c r="AO531" s="160"/>
      <c r="AP531" s="162"/>
      <c r="AQ531" s="161"/>
      <c r="AR531" s="162"/>
      <c r="AS531" s="161"/>
      <c r="AT531" s="165"/>
      <c r="AU531" s="166"/>
      <c r="AV531" s="165"/>
      <c r="AW531" s="166"/>
      <c r="AX531" s="165"/>
      <c r="AY531" s="165"/>
      <c r="AZ531" s="165"/>
      <c r="BA531" s="165">
        <v>2704.0391500000001</v>
      </c>
      <c r="BB531" s="166"/>
      <c r="BC531" s="165"/>
      <c r="BD531" s="165"/>
      <c r="BE531" s="165">
        <v>956.83592999999996</v>
      </c>
      <c r="BF531" s="165">
        <v>1184.9178899999999</v>
      </c>
      <c r="BG531" s="165"/>
      <c r="BH531" s="165"/>
      <c r="BI531" s="165">
        <v>344.35</v>
      </c>
      <c r="BJ531" s="166"/>
      <c r="BK531" s="165"/>
      <c r="BL531" s="165"/>
      <c r="BM531" s="163"/>
      <c r="BN531" s="165"/>
      <c r="BO531" s="165"/>
      <c r="BP531" s="165"/>
      <c r="BQ531" s="167"/>
    </row>
    <row r="532" spans="1:69" ht="39.950000000000003" customHeight="1" outlineLevel="1" x14ac:dyDescent="0.3">
      <c r="A532" s="15" t="s">
        <v>649</v>
      </c>
      <c r="B532" s="12" t="s">
        <v>1428</v>
      </c>
      <c r="C532" s="9" t="s">
        <v>87</v>
      </c>
      <c r="D532" s="66">
        <v>2455036413</v>
      </c>
      <c r="E532" s="158">
        <f t="shared" si="107"/>
        <v>24505.017159999996</v>
      </c>
      <c r="F532" s="159">
        <f t="shared" si="108"/>
        <v>0</v>
      </c>
      <c r="G532" s="160">
        <f t="shared" si="109"/>
        <v>24505.017159999996</v>
      </c>
      <c r="H532" s="166"/>
      <c r="I532" s="165"/>
      <c r="J532" s="160"/>
      <c r="K532" s="160"/>
      <c r="L532" s="166"/>
      <c r="M532" s="165"/>
      <c r="N532" s="165"/>
      <c r="O532" s="165"/>
      <c r="P532" s="160"/>
      <c r="Q532" s="166"/>
      <c r="R532" s="165"/>
      <c r="S532" s="165"/>
      <c r="T532" s="159"/>
      <c r="U532" s="160"/>
      <c r="V532" s="165"/>
      <c r="W532" s="165"/>
      <c r="X532" s="160"/>
      <c r="Y532" s="166"/>
      <c r="Z532" s="160"/>
      <c r="AA532" s="160"/>
      <c r="AB532" s="165"/>
      <c r="AC532" s="165"/>
      <c r="AD532" s="165"/>
      <c r="AE532" s="165"/>
      <c r="AF532" s="160"/>
      <c r="AG532" s="160"/>
      <c r="AH532" s="160"/>
      <c r="AI532" s="160">
        <v>248.38353000000001</v>
      </c>
      <c r="AJ532" s="161"/>
      <c r="AK532" s="162"/>
      <c r="AL532" s="165"/>
      <c r="AM532" s="166"/>
      <c r="AN532" s="165"/>
      <c r="AO532" s="160"/>
      <c r="AP532" s="162"/>
      <c r="AQ532" s="161"/>
      <c r="AR532" s="162"/>
      <c r="AS532" s="161"/>
      <c r="AT532" s="165"/>
      <c r="AU532" s="166"/>
      <c r="AV532" s="165"/>
      <c r="AW532" s="166"/>
      <c r="AX532" s="165"/>
      <c r="AY532" s="165"/>
      <c r="AZ532" s="165"/>
      <c r="BA532" s="165"/>
      <c r="BB532" s="166"/>
      <c r="BC532" s="165"/>
      <c r="BD532" s="165"/>
      <c r="BE532" s="165">
        <v>18720.410779999998</v>
      </c>
      <c r="BF532" s="165">
        <v>5536.2228500000001</v>
      </c>
      <c r="BG532" s="165"/>
      <c r="BH532" s="165"/>
      <c r="BI532" s="165"/>
      <c r="BJ532" s="166"/>
      <c r="BK532" s="165"/>
      <c r="BL532" s="165"/>
      <c r="BM532" s="163"/>
      <c r="BN532" s="165"/>
      <c r="BO532" s="165"/>
      <c r="BP532" s="165"/>
      <c r="BQ532" s="167"/>
    </row>
    <row r="533" spans="1:69" ht="39.950000000000003" customHeight="1" outlineLevel="1" x14ac:dyDescent="0.3">
      <c r="A533" s="17" t="s">
        <v>649</v>
      </c>
      <c r="B533" s="12" t="s">
        <v>1328</v>
      </c>
      <c r="C533" s="9" t="s">
        <v>87</v>
      </c>
      <c r="D533" s="68">
        <v>2455023100</v>
      </c>
      <c r="E533" s="158">
        <f t="shared" si="107"/>
        <v>1842.0229400000001</v>
      </c>
      <c r="F533" s="159">
        <f t="shared" ref="F533:F552" si="110">H533+L533+Q533+Y533+T533+AK533+AP533+AM533+AR533+AU533+AW533+BB533+BJ533</f>
        <v>0</v>
      </c>
      <c r="G533" s="160">
        <f t="shared" ref="G533:G552" si="111">I533+J533+K533+M533+N533+R533+S533+V533+W533+AD533+O533+X533+Z533+AA533+AB533+AC533+AE533+AF533+P533+U533+AG533+AH533+AI533+AO533+AJ533+AL533+AQ533+AN533+AS533+AV533+AX533+AY533+AZ533+BA533+BC533+BD533+BE533+BF533+BG533+BH533+BI533+AT533+BK533+BL533+BN533+BO533+BP533+BQ533+BM533</f>
        <v>1842.0229400000001</v>
      </c>
      <c r="H533" s="166"/>
      <c r="I533" s="165"/>
      <c r="J533" s="160"/>
      <c r="K533" s="160"/>
      <c r="L533" s="166"/>
      <c r="M533" s="165"/>
      <c r="N533" s="165"/>
      <c r="O533" s="165"/>
      <c r="P533" s="160"/>
      <c r="Q533" s="166"/>
      <c r="R533" s="165"/>
      <c r="S533" s="165"/>
      <c r="T533" s="159"/>
      <c r="U533" s="160"/>
      <c r="V533" s="165"/>
      <c r="W533" s="165"/>
      <c r="X533" s="160"/>
      <c r="Y533" s="166"/>
      <c r="Z533" s="160"/>
      <c r="AA533" s="160"/>
      <c r="AB533" s="165"/>
      <c r="AC533" s="165"/>
      <c r="AD533" s="165"/>
      <c r="AE533" s="165"/>
      <c r="AF533" s="160"/>
      <c r="AG533" s="160"/>
      <c r="AH533" s="160"/>
      <c r="AI533" s="160">
        <v>1143.36574</v>
      </c>
      <c r="AJ533" s="161"/>
      <c r="AK533" s="162"/>
      <c r="AL533" s="165"/>
      <c r="AM533" s="166"/>
      <c r="AN533" s="165"/>
      <c r="AO533" s="160"/>
      <c r="AP533" s="162"/>
      <c r="AQ533" s="161"/>
      <c r="AR533" s="162"/>
      <c r="AS533" s="161"/>
      <c r="AT533" s="165"/>
      <c r="AU533" s="166"/>
      <c r="AV533" s="165"/>
      <c r="AW533" s="166"/>
      <c r="AX533" s="165"/>
      <c r="AY533" s="165"/>
      <c r="AZ533" s="165"/>
      <c r="BA533" s="165"/>
      <c r="BB533" s="166"/>
      <c r="BC533" s="165"/>
      <c r="BD533" s="165"/>
      <c r="BE533" s="165">
        <v>604.00720000000001</v>
      </c>
      <c r="BF533" s="165"/>
      <c r="BG533" s="165"/>
      <c r="BH533" s="165"/>
      <c r="BI533" s="165">
        <v>94.65</v>
      </c>
      <c r="BJ533" s="166"/>
      <c r="BK533" s="165"/>
      <c r="BL533" s="165"/>
      <c r="BM533" s="163"/>
      <c r="BN533" s="165"/>
      <c r="BO533" s="165"/>
      <c r="BP533" s="165"/>
      <c r="BQ533" s="167"/>
    </row>
    <row r="534" spans="1:69" ht="39.950000000000003" customHeight="1" outlineLevel="1" x14ac:dyDescent="0.3">
      <c r="A534" s="15" t="s">
        <v>649</v>
      </c>
      <c r="B534" s="14" t="s">
        <v>712</v>
      </c>
      <c r="C534" s="9" t="s">
        <v>87</v>
      </c>
      <c r="D534" s="9" t="s">
        <v>1225</v>
      </c>
      <c r="E534" s="158">
        <f t="shared" si="107"/>
        <v>483.69702000000001</v>
      </c>
      <c r="F534" s="159">
        <f t="shared" si="110"/>
        <v>0</v>
      </c>
      <c r="G534" s="160">
        <f t="shared" si="111"/>
        <v>483.69702000000001</v>
      </c>
      <c r="H534" s="166"/>
      <c r="I534" s="165"/>
      <c r="J534" s="160"/>
      <c r="K534" s="160"/>
      <c r="L534" s="166"/>
      <c r="M534" s="165"/>
      <c r="N534" s="165"/>
      <c r="O534" s="165"/>
      <c r="P534" s="160"/>
      <c r="Q534" s="166"/>
      <c r="R534" s="165"/>
      <c r="S534" s="165"/>
      <c r="T534" s="159"/>
      <c r="U534" s="160"/>
      <c r="V534" s="165"/>
      <c r="W534" s="165"/>
      <c r="X534" s="160"/>
      <c r="Y534" s="166"/>
      <c r="Z534" s="160"/>
      <c r="AA534" s="160"/>
      <c r="AB534" s="165"/>
      <c r="AC534" s="165"/>
      <c r="AD534" s="165"/>
      <c r="AE534" s="165"/>
      <c r="AF534" s="160"/>
      <c r="AG534" s="160"/>
      <c r="AH534" s="160"/>
      <c r="AI534" s="160"/>
      <c r="AJ534" s="161"/>
      <c r="AK534" s="162"/>
      <c r="AL534" s="165"/>
      <c r="AM534" s="166"/>
      <c r="AN534" s="165"/>
      <c r="AO534" s="160"/>
      <c r="AP534" s="162"/>
      <c r="AQ534" s="161"/>
      <c r="AR534" s="162"/>
      <c r="AS534" s="161"/>
      <c r="AT534" s="165"/>
      <c r="AU534" s="166"/>
      <c r="AV534" s="165"/>
      <c r="AW534" s="166"/>
      <c r="AX534" s="165"/>
      <c r="AY534" s="165"/>
      <c r="AZ534" s="165"/>
      <c r="BA534" s="165">
        <v>483.69702000000001</v>
      </c>
      <c r="BB534" s="166"/>
      <c r="BC534" s="165"/>
      <c r="BD534" s="165"/>
      <c r="BE534" s="165"/>
      <c r="BF534" s="165"/>
      <c r="BG534" s="165"/>
      <c r="BH534" s="165"/>
      <c r="BI534" s="165"/>
      <c r="BJ534" s="166"/>
      <c r="BK534" s="165"/>
      <c r="BL534" s="165"/>
      <c r="BM534" s="163"/>
      <c r="BN534" s="165"/>
      <c r="BO534" s="165"/>
      <c r="BP534" s="165"/>
      <c r="BQ534" s="167"/>
    </row>
    <row r="535" spans="1:69" ht="39.950000000000003" customHeight="1" outlineLevel="1" x14ac:dyDescent="0.3">
      <c r="A535" s="15" t="s">
        <v>649</v>
      </c>
      <c r="B535" s="14" t="s">
        <v>704</v>
      </c>
      <c r="C535" s="9" t="s">
        <v>73</v>
      </c>
      <c r="D535" s="66" t="s">
        <v>705</v>
      </c>
      <c r="E535" s="158">
        <f t="shared" si="107"/>
        <v>651.79550999999992</v>
      </c>
      <c r="F535" s="159">
        <f t="shared" si="110"/>
        <v>0</v>
      </c>
      <c r="G535" s="160">
        <f t="shared" si="111"/>
        <v>651.79550999999992</v>
      </c>
      <c r="H535" s="166"/>
      <c r="I535" s="165"/>
      <c r="J535" s="160"/>
      <c r="K535" s="160"/>
      <c r="L535" s="166"/>
      <c r="M535" s="165"/>
      <c r="N535" s="165"/>
      <c r="O535" s="165"/>
      <c r="P535" s="160"/>
      <c r="Q535" s="166"/>
      <c r="R535" s="165"/>
      <c r="S535" s="165"/>
      <c r="T535" s="159"/>
      <c r="U535" s="160"/>
      <c r="V535" s="165"/>
      <c r="W535" s="165"/>
      <c r="X535" s="160"/>
      <c r="Y535" s="166"/>
      <c r="Z535" s="160"/>
      <c r="AA535" s="160"/>
      <c r="AB535" s="165"/>
      <c r="AC535" s="165"/>
      <c r="AD535" s="165"/>
      <c r="AE535" s="165"/>
      <c r="AF535" s="160"/>
      <c r="AG535" s="160"/>
      <c r="AH535" s="160"/>
      <c r="AI535" s="160"/>
      <c r="AJ535" s="161"/>
      <c r="AK535" s="162"/>
      <c r="AL535" s="165"/>
      <c r="AM535" s="166"/>
      <c r="AN535" s="165"/>
      <c r="AO535" s="160"/>
      <c r="AP535" s="162"/>
      <c r="AQ535" s="161"/>
      <c r="AR535" s="162"/>
      <c r="AS535" s="161"/>
      <c r="AT535" s="165">
        <f>421.0288+230.76671</f>
        <v>651.79550999999992</v>
      </c>
      <c r="AU535" s="166"/>
      <c r="AV535" s="165"/>
      <c r="AW535" s="166"/>
      <c r="AX535" s="165"/>
      <c r="AY535" s="165"/>
      <c r="AZ535" s="165"/>
      <c r="BA535" s="165"/>
      <c r="BB535" s="166"/>
      <c r="BC535" s="165"/>
      <c r="BD535" s="165"/>
      <c r="BE535" s="165"/>
      <c r="BF535" s="165"/>
      <c r="BG535" s="165"/>
      <c r="BH535" s="165"/>
      <c r="BI535" s="165"/>
      <c r="BJ535" s="166"/>
      <c r="BK535" s="165"/>
      <c r="BL535" s="165"/>
      <c r="BM535" s="163"/>
      <c r="BN535" s="165"/>
      <c r="BO535" s="165"/>
      <c r="BP535" s="165"/>
      <c r="BQ535" s="167"/>
    </row>
    <row r="536" spans="1:69" ht="39.950000000000003" customHeight="1" outlineLevel="1" x14ac:dyDescent="0.3">
      <c r="A536" s="17" t="s">
        <v>649</v>
      </c>
      <c r="B536" s="14" t="s">
        <v>706</v>
      </c>
      <c r="C536" s="9" t="s">
        <v>73</v>
      </c>
      <c r="D536" s="66" t="s">
        <v>707</v>
      </c>
      <c r="E536" s="158">
        <f t="shared" si="107"/>
        <v>21374.32993</v>
      </c>
      <c r="F536" s="159">
        <f t="shared" si="110"/>
        <v>9342.75</v>
      </c>
      <c r="G536" s="160">
        <f t="shared" si="111"/>
        <v>12031.57993</v>
      </c>
      <c r="H536" s="166"/>
      <c r="I536" s="165"/>
      <c r="J536" s="160"/>
      <c r="K536" s="160"/>
      <c r="L536" s="166"/>
      <c r="M536" s="165"/>
      <c r="N536" s="165"/>
      <c r="O536" s="165"/>
      <c r="P536" s="160"/>
      <c r="Q536" s="166"/>
      <c r="R536" s="165"/>
      <c r="S536" s="165"/>
      <c r="T536" s="159"/>
      <c r="U536" s="160"/>
      <c r="V536" s="165"/>
      <c r="W536" s="165"/>
      <c r="X536" s="160"/>
      <c r="Y536" s="166"/>
      <c r="Z536" s="160"/>
      <c r="AA536" s="160"/>
      <c r="AB536" s="165"/>
      <c r="AC536" s="165"/>
      <c r="AD536" s="165"/>
      <c r="AE536" s="165"/>
      <c r="AF536" s="160"/>
      <c r="AG536" s="160"/>
      <c r="AH536" s="160"/>
      <c r="AI536" s="160"/>
      <c r="AJ536" s="161"/>
      <c r="AK536" s="162"/>
      <c r="AL536" s="165"/>
      <c r="AM536" s="166"/>
      <c r="AN536" s="165"/>
      <c r="AO536" s="160"/>
      <c r="AP536" s="162">
        <v>9342.75</v>
      </c>
      <c r="AQ536" s="161">
        <v>3114.25</v>
      </c>
      <c r="AR536" s="162"/>
      <c r="AS536" s="161"/>
      <c r="AT536" s="165">
        <f>6259.9606+2636.85784</f>
        <v>8896.8184400000009</v>
      </c>
      <c r="AU536" s="166"/>
      <c r="AV536" s="165"/>
      <c r="AW536" s="166"/>
      <c r="AX536" s="165"/>
      <c r="AY536" s="165"/>
      <c r="AZ536" s="165"/>
      <c r="BA536" s="165"/>
      <c r="BB536" s="166"/>
      <c r="BC536" s="165"/>
      <c r="BD536" s="165"/>
      <c r="BE536" s="165">
        <v>20.511489999999998</v>
      </c>
      <c r="BF536" s="165"/>
      <c r="BG536" s="165"/>
      <c r="BH536" s="165"/>
      <c r="BI536" s="165"/>
      <c r="BJ536" s="166"/>
      <c r="BK536" s="165"/>
      <c r="BL536" s="165"/>
      <c r="BM536" s="163"/>
      <c r="BN536" s="165"/>
      <c r="BO536" s="165"/>
      <c r="BP536" s="165"/>
      <c r="BQ536" s="167"/>
    </row>
    <row r="537" spans="1:69" ht="39.950000000000003" customHeight="1" outlineLevel="1" x14ac:dyDescent="0.3">
      <c r="A537" s="17" t="s">
        <v>649</v>
      </c>
      <c r="B537" s="14" t="s">
        <v>709</v>
      </c>
      <c r="C537" s="9" t="s">
        <v>73</v>
      </c>
      <c r="D537" s="9" t="s">
        <v>1224</v>
      </c>
      <c r="E537" s="158">
        <f t="shared" si="107"/>
        <v>8734.4501199999995</v>
      </c>
      <c r="F537" s="159">
        <f t="shared" si="110"/>
        <v>0</v>
      </c>
      <c r="G537" s="160">
        <f t="shared" si="111"/>
        <v>8734.4501199999995</v>
      </c>
      <c r="H537" s="166"/>
      <c r="I537" s="165"/>
      <c r="J537" s="160"/>
      <c r="K537" s="160"/>
      <c r="L537" s="166"/>
      <c r="M537" s="165"/>
      <c r="N537" s="165"/>
      <c r="O537" s="165"/>
      <c r="P537" s="160"/>
      <c r="Q537" s="166"/>
      <c r="R537" s="165"/>
      <c r="S537" s="165"/>
      <c r="T537" s="159"/>
      <c r="U537" s="160"/>
      <c r="V537" s="165"/>
      <c r="W537" s="165"/>
      <c r="X537" s="160"/>
      <c r="Y537" s="166"/>
      <c r="Z537" s="160"/>
      <c r="AA537" s="160"/>
      <c r="AB537" s="165"/>
      <c r="AC537" s="165"/>
      <c r="AD537" s="165"/>
      <c r="AE537" s="165"/>
      <c r="AF537" s="160"/>
      <c r="AG537" s="160"/>
      <c r="AH537" s="160"/>
      <c r="AI537" s="160"/>
      <c r="AJ537" s="161"/>
      <c r="AK537" s="162"/>
      <c r="AL537" s="165"/>
      <c r="AM537" s="166"/>
      <c r="AN537" s="165"/>
      <c r="AO537" s="160"/>
      <c r="AP537" s="162"/>
      <c r="AQ537" s="161"/>
      <c r="AR537" s="162"/>
      <c r="AS537" s="161"/>
      <c r="AT537" s="165">
        <f>1184.436+5082.0612+529.8315+1938.12142</f>
        <v>8734.4501199999995</v>
      </c>
      <c r="AU537" s="166"/>
      <c r="AV537" s="165"/>
      <c r="AW537" s="166"/>
      <c r="AX537" s="165"/>
      <c r="AY537" s="165"/>
      <c r="AZ537" s="165"/>
      <c r="BA537" s="165"/>
      <c r="BB537" s="166"/>
      <c r="BC537" s="165"/>
      <c r="BD537" s="165"/>
      <c r="BE537" s="165"/>
      <c r="BF537" s="165"/>
      <c r="BG537" s="165"/>
      <c r="BH537" s="165"/>
      <c r="BI537" s="165"/>
      <c r="BJ537" s="166"/>
      <c r="BK537" s="165"/>
      <c r="BL537" s="165"/>
      <c r="BM537" s="163"/>
      <c r="BN537" s="165"/>
      <c r="BO537" s="165"/>
      <c r="BP537" s="165"/>
      <c r="BQ537" s="167"/>
    </row>
    <row r="538" spans="1:69" ht="39.950000000000003" customHeight="1" outlineLevel="1" x14ac:dyDescent="0.3">
      <c r="A538" s="17" t="s">
        <v>649</v>
      </c>
      <c r="B538" s="14" t="s">
        <v>708</v>
      </c>
      <c r="C538" s="9" t="s">
        <v>73</v>
      </c>
      <c r="D538" s="9" t="s">
        <v>1223</v>
      </c>
      <c r="E538" s="158">
        <f t="shared" si="107"/>
        <v>2833.6627099999996</v>
      </c>
      <c r="F538" s="159">
        <f t="shared" si="110"/>
        <v>0</v>
      </c>
      <c r="G538" s="160">
        <f t="shared" si="111"/>
        <v>2833.6627099999996</v>
      </c>
      <c r="H538" s="166"/>
      <c r="I538" s="165"/>
      <c r="J538" s="160"/>
      <c r="K538" s="160"/>
      <c r="L538" s="166"/>
      <c r="M538" s="165"/>
      <c r="N538" s="165"/>
      <c r="O538" s="165"/>
      <c r="P538" s="160"/>
      <c r="Q538" s="166"/>
      <c r="R538" s="165"/>
      <c r="S538" s="165"/>
      <c r="T538" s="159"/>
      <c r="U538" s="160"/>
      <c r="V538" s="165"/>
      <c r="W538" s="165"/>
      <c r="X538" s="160"/>
      <c r="Y538" s="166"/>
      <c r="Z538" s="160"/>
      <c r="AA538" s="160"/>
      <c r="AB538" s="165"/>
      <c r="AC538" s="165"/>
      <c r="AD538" s="165"/>
      <c r="AE538" s="165"/>
      <c r="AF538" s="160"/>
      <c r="AG538" s="160"/>
      <c r="AH538" s="160"/>
      <c r="AI538" s="160"/>
      <c r="AJ538" s="161"/>
      <c r="AK538" s="162"/>
      <c r="AL538" s="165"/>
      <c r="AM538" s="166"/>
      <c r="AN538" s="165"/>
      <c r="AO538" s="160"/>
      <c r="AP538" s="162"/>
      <c r="AQ538" s="161"/>
      <c r="AR538" s="162"/>
      <c r="AS538" s="161"/>
      <c r="AT538" s="165">
        <f>1525.2105+477.6213+814.34066+16.49025</f>
        <v>2833.6627099999996</v>
      </c>
      <c r="AU538" s="166"/>
      <c r="AV538" s="165"/>
      <c r="AW538" s="166"/>
      <c r="AX538" s="165"/>
      <c r="AY538" s="165"/>
      <c r="AZ538" s="165"/>
      <c r="BA538" s="165"/>
      <c r="BB538" s="166"/>
      <c r="BC538" s="165"/>
      <c r="BD538" s="165"/>
      <c r="BE538" s="165"/>
      <c r="BF538" s="165"/>
      <c r="BG538" s="165"/>
      <c r="BH538" s="165"/>
      <c r="BI538" s="165"/>
      <c r="BJ538" s="166"/>
      <c r="BK538" s="165"/>
      <c r="BL538" s="165"/>
      <c r="BM538" s="163"/>
      <c r="BN538" s="165"/>
      <c r="BO538" s="165"/>
      <c r="BP538" s="165"/>
      <c r="BQ538" s="167"/>
    </row>
    <row r="539" spans="1:69" ht="39.950000000000003" customHeight="1" outlineLevel="1" x14ac:dyDescent="0.3">
      <c r="A539" s="17" t="s">
        <v>649</v>
      </c>
      <c r="B539" s="14" t="s">
        <v>710</v>
      </c>
      <c r="C539" s="9" t="s">
        <v>73</v>
      </c>
      <c r="D539" s="66" t="s">
        <v>711</v>
      </c>
      <c r="E539" s="158">
        <f t="shared" si="107"/>
        <v>12.41595</v>
      </c>
      <c r="F539" s="159">
        <f t="shared" si="110"/>
        <v>0</v>
      </c>
      <c r="G539" s="160">
        <f t="shared" si="111"/>
        <v>12.41595</v>
      </c>
      <c r="H539" s="166"/>
      <c r="I539" s="165"/>
      <c r="J539" s="160"/>
      <c r="K539" s="160"/>
      <c r="L539" s="166"/>
      <c r="M539" s="165"/>
      <c r="N539" s="165"/>
      <c r="O539" s="165"/>
      <c r="P539" s="160"/>
      <c r="Q539" s="166"/>
      <c r="R539" s="165"/>
      <c r="S539" s="165"/>
      <c r="T539" s="159"/>
      <c r="U539" s="160"/>
      <c r="V539" s="165"/>
      <c r="W539" s="165"/>
      <c r="X539" s="160"/>
      <c r="Y539" s="166"/>
      <c r="Z539" s="160"/>
      <c r="AA539" s="160"/>
      <c r="AB539" s="165"/>
      <c r="AC539" s="165"/>
      <c r="AD539" s="165"/>
      <c r="AE539" s="165"/>
      <c r="AF539" s="160"/>
      <c r="AG539" s="160">
        <v>12.41595</v>
      </c>
      <c r="AH539" s="160"/>
      <c r="AI539" s="160"/>
      <c r="AJ539" s="161"/>
      <c r="AK539" s="162"/>
      <c r="AL539" s="165"/>
      <c r="AM539" s="166"/>
      <c r="AN539" s="165"/>
      <c r="AO539" s="160"/>
      <c r="AP539" s="162"/>
      <c r="AQ539" s="161"/>
      <c r="AR539" s="162"/>
      <c r="AS539" s="161"/>
      <c r="AT539" s="165"/>
      <c r="AU539" s="166"/>
      <c r="AV539" s="165"/>
      <c r="AW539" s="166"/>
      <c r="AX539" s="165"/>
      <c r="AY539" s="165"/>
      <c r="AZ539" s="165"/>
      <c r="BA539" s="165"/>
      <c r="BB539" s="166"/>
      <c r="BC539" s="165"/>
      <c r="BD539" s="165"/>
      <c r="BE539" s="165"/>
      <c r="BF539" s="165"/>
      <c r="BG539" s="165"/>
      <c r="BH539" s="165"/>
      <c r="BI539" s="165"/>
      <c r="BJ539" s="166"/>
      <c r="BK539" s="165"/>
      <c r="BL539" s="165"/>
      <c r="BM539" s="163"/>
      <c r="BN539" s="165"/>
      <c r="BO539" s="165"/>
      <c r="BP539" s="165"/>
      <c r="BQ539" s="167"/>
    </row>
    <row r="540" spans="1:69" ht="39.950000000000003" customHeight="1" outlineLevel="1" x14ac:dyDescent="0.3">
      <c r="A540" s="15" t="s">
        <v>649</v>
      </c>
      <c r="B540" s="12" t="s">
        <v>650</v>
      </c>
      <c r="C540" s="9" t="s">
        <v>6</v>
      </c>
      <c r="D540" s="66" t="s">
        <v>651</v>
      </c>
      <c r="E540" s="158">
        <f t="shared" si="107"/>
        <v>69598.444940000001</v>
      </c>
      <c r="F540" s="159">
        <f t="shared" si="110"/>
        <v>20170.804110000001</v>
      </c>
      <c r="G540" s="160">
        <f t="shared" si="111"/>
        <v>49427.640829999997</v>
      </c>
      <c r="H540" s="166">
        <v>4268.1345000000001</v>
      </c>
      <c r="I540" s="165">
        <v>1422.7114999999999</v>
      </c>
      <c r="J540" s="179">
        <v>2082</v>
      </c>
      <c r="K540" s="179"/>
      <c r="L540" s="166">
        <f>193.75325+1960.39202</f>
        <v>2154.14527</v>
      </c>
      <c r="M540" s="165">
        <f>303.67269+3072.55493</f>
        <v>3376.2276199999997</v>
      </c>
      <c r="N540" s="165"/>
      <c r="O540" s="165">
        <v>400.2</v>
      </c>
      <c r="P540" s="160"/>
      <c r="Q540" s="166">
        <v>9062.1033000000007</v>
      </c>
      <c r="R540" s="165">
        <v>3020.7011000000002</v>
      </c>
      <c r="S540" s="165"/>
      <c r="T540" s="159">
        <v>560.16904999999997</v>
      </c>
      <c r="U540" s="160">
        <v>186.72301999999999</v>
      </c>
      <c r="V540" s="165"/>
      <c r="W540" s="165"/>
      <c r="X540" s="160"/>
      <c r="Y540" s="166">
        <v>4126.2519899999998</v>
      </c>
      <c r="Z540" s="160">
        <v>1375.41733</v>
      </c>
      <c r="AA540" s="160">
        <v>17993.413140000001</v>
      </c>
      <c r="AB540" s="165"/>
      <c r="AC540" s="165"/>
      <c r="AD540" s="165"/>
      <c r="AE540" s="165"/>
      <c r="AF540" s="160"/>
      <c r="AG540" s="160"/>
      <c r="AH540" s="160"/>
      <c r="AI540" s="180"/>
      <c r="AJ540" s="161"/>
      <c r="AK540" s="162"/>
      <c r="AL540" s="165"/>
      <c r="AM540" s="166"/>
      <c r="AN540" s="165"/>
      <c r="AO540" s="180"/>
      <c r="AP540" s="162"/>
      <c r="AQ540" s="161"/>
      <c r="AR540" s="162"/>
      <c r="AS540" s="161"/>
      <c r="AT540" s="165"/>
      <c r="AU540" s="166"/>
      <c r="AV540" s="165"/>
      <c r="AW540" s="166"/>
      <c r="AX540" s="165"/>
      <c r="AY540" s="165"/>
      <c r="AZ540" s="165"/>
      <c r="BA540" s="165">
        <v>785.94251999999994</v>
      </c>
      <c r="BB540" s="166"/>
      <c r="BC540" s="165"/>
      <c r="BD540" s="165"/>
      <c r="BE540" s="165">
        <v>9469.1667699999998</v>
      </c>
      <c r="BF540" s="165">
        <v>9305.1378299999997</v>
      </c>
      <c r="BG540" s="165"/>
      <c r="BH540" s="165"/>
      <c r="BI540" s="165"/>
      <c r="BJ540" s="166"/>
      <c r="BK540" s="165"/>
      <c r="BL540" s="165"/>
      <c r="BM540" s="163"/>
      <c r="BN540" s="165">
        <v>10</v>
      </c>
      <c r="BO540" s="165"/>
      <c r="BP540" s="165"/>
      <c r="BQ540" s="167"/>
    </row>
    <row r="541" spans="1:69" ht="39.950000000000003" customHeight="1" outlineLevel="1" x14ac:dyDescent="0.3">
      <c r="A541" s="15" t="s">
        <v>649</v>
      </c>
      <c r="B541" s="14" t="s">
        <v>1119</v>
      </c>
      <c r="C541" s="9" t="s">
        <v>6</v>
      </c>
      <c r="D541" s="9" t="s">
        <v>1216</v>
      </c>
      <c r="E541" s="158">
        <f t="shared" si="107"/>
        <v>1797.9461200000001</v>
      </c>
      <c r="F541" s="159">
        <f t="shared" si="110"/>
        <v>440.51681000000002</v>
      </c>
      <c r="G541" s="160">
        <f t="shared" si="111"/>
        <v>1357.42931</v>
      </c>
      <c r="H541" s="166"/>
      <c r="I541" s="165"/>
      <c r="J541" s="160"/>
      <c r="K541" s="160"/>
      <c r="L541" s="166">
        <v>440.51681000000002</v>
      </c>
      <c r="M541" s="165">
        <v>690.42930999999999</v>
      </c>
      <c r="N541" s="165"/>
      <c r="O541" s="165">
        <v>667</v>
      </c>
      <c r="P541" s="160"/>
      <c r="Q541" s="166"/>
      <c r="R541" s="165"/>
      <c r="S541" s="165"/>
      <c r="T541" s="159"/>
      <c r="U541" s="160"/>
      <c r="V541" s="165"/>
      <c r="W541" s="165"/>
      <c r="X541" s="160"/>
      <c r="Y541" s="166"/>
      <c r="Z541" s="160"/>
      <c r="AA541" s="160"/>
      <c r="AB541" s="165"/>
      <c r="AC541" s="165"/>
      <c r="AD541" s="165"/>
      <c r="AE541" s="165"/>
      <c r="AF541" s="160"/>
      <c r="AG541" s="160"/>
      <c r="AH541" s="160"/>
      <c r="AI541" s="160"/>
      <c r="AJ541" s="161"/>
      <c r="AK541" s="162"/>
      <c r="AL541" s="165"/>
      <c r="AM541" s="166"/>
      <c r="AN541" s="165"/>
      <c r="AO541" s="160"/>
      <c r="AP541" s="162"/>
      <c r="AQ541" s="161"/>
      <c r="AR541" s="162"/>
      <c r="AS541" s="161"/>
      <c r="AT541" s="165"/>
      <c r="AU541" s="166"/>
      <c r="AV541" s="165"/>
      <c r="AW541" s="166"/>
      <c r="AX541" s="165"/>
      <c r="AY541" s="165"/>
      <c r="AZ541" s="165"/>
      <c r="BA541" s="165"/>
      <c r="BB541" s="166"/>
      <c r="BC541" s="165"/>
      <c r="BD541" s="165"/>
      <c r="BE541" s="165"/>
      <c r="BF541" s="165"/>
      <c r="BG541" s="165"/>
      <c r="BH541" s="165"/>
      <c r="BI541" s="165"/>
      <c r="BJ541" s="166"/>
      <c r="BK541" s="165"/>
      <c r="BL541" s="165"/>
      <c r="BM541" s="163"/>
      <c r="BN541" s="165"/>
      <c r="BO541" s="165"/>
      <c r="BP541" s="165"/>
      <c r="BQ541" s="167"/>
    </row>
    <row r="542" spans="1:69" ht="39.950000000000003" customHeight="1" outlineLevel="1" x14ac:dyDescent="0.3">
      <c r="A542" s="17" t="s">
        <v>649</v>
      </c>
      <c r="B542" s="12" t="s">
        <v>1319</v>
      </c>
      <c r="C542" s="9" t="s">
        <v>6</v>
      </c>
      <c r="D542" s="68" t="s">
        <v>665</v>
      </c>
      <c r="E542" s="158">
        <f t="shared" si="107"/>
        <v>142.42392000000001</v>
      </c>
      <c r="F542" s="159">
        <f t="shared" si="110"/>
        <v>55.475790000000003</v>
      </c>
      <c r="G542" s="160">
        <f t="shared" si="111"/>
        <v>86.948130000000006</v>
      </c>
      <c r="H542" s="166"/>
      <c r="I542" s="165"/>
      <c r="J542" s="160"/>
      <c r="K542" s="160"/>
      <c r="L542" s="166">
        <v>55.475790000000003</v>
      </c>
      <c r="M542" s="165">
        <v>86.948130000000006</v>
      </c>
      <c r="N542" s="165"/>
      <c r="O542" s="165"/>
      <c r="P542" s="160"/>
      <c r="Q542" s="166"/>
      <c r="R542" s="165"/>
      <c r="S542" s="165"/>
      <c r="T542" s="159"/>
      <c r="U542" s="160"/>
      <c r="V542" s="165"/>
      <c r="W542" s="165"/>
      <c r="X542" s="160"/>
      <c r="Y542" s="166"/>
      <c r="Z542" s="160"/>
      <c r="AA542" s="160"/>
      <c r="AB542" s="165"/>
      <c r="AC542" s="165"/>
      <c r="AD542" s="165"/>
      <c r="AE542" s="165"/>
      <c r="AF542" s="160"/>
      <c r="AG542" s="160"/>
      <c r="AH542" s="160"/>
      <c r="AI542" s="160"/>
      <c r="AJ542" s="161"/>
      <c r="AK542" s="162"/>
      <c r="AL542" s="165"/>
      <c r="AM542" s="166"/>
      <c r="AN542" s="165"/>
      <c r="AO542" s="160"/>
      <c r="AP542" s="162"/>
      <c r="AQ542" s="161"/>
      <c r="AR542" s="162"/>
      <c r="AS542" s="161"/>
      <c r="AT542" s="165"/>
      <c r="AU542" s="166"/>
      <c r="AV542" s="165"/>
      <c r="AW542" s="166"/>
      <c r="AX542" s="165"/>
      <c r="AY542" s="165"/>
      <c r="AZ542" s="165"/>
      <c r="BA542" s="165"/>
      <c r="BB542" s="166"/>
      <c r="BC542" s="165"/>
      <c r="BD542" s="165"/>
      <c r="BE542" s="165"/>
      <c r="BF542" s="165"/>
      <c r="BG542" s="165"/>
      <c r="BH542" s="165"/>
      <c r="BI542" s="165"/>
      <c r="BJ542" s="166"/>
      <c r="BK542" s="165"/>
      <c r="BL542" s="165"/>
      <c r="BM542" s="163"/>
      <c r="BN542" s="165"/>
      <c r="BO542" s="165"/>
      <c r="BP542" s="165"/>
      <c r="BQ542" s="167"/>
    </row>
    <row r="543" spans="1:69" ht="39.950000000000003" customHeight="1" outlineLevel="1" x14ac:dyDescent="0.3">
      <c r="A543" s="17" t="s">
        <v>649</v>
      </c>
      <c r="B543" s="12" t="s">
        <v>666</v>
      </c>
      <c r="C543" s="9" t="s">
        <v>6</v>
      </c>
      <c r="D543" s="66" t="s">
        <v>667</v>
      </c>
      <c r="E543" s="158">
        <f t="shared" si="107"/>
        <v>245.9495</v>
      </c>
      <c r="F543" s="159">
        <f t="shared" si="110"/>
        <v>95.800219999999996</v>
      </c>
      <c r="G543" s="160">
        <f t="shared" si="111"/>
        <v>150.14928</v>
      </c>
      <c r="H543" s="166"/>
      <c r="I543" s="165"/>
      <c r="J543" s="160"/>
      <c r="K543" s="160"/>
      <c r="L543" s="166">
        <v>95.800219999999996</v>
      </c>
      <c r="M543" s="165">
        <v>150.14928</v>
      </c>
      <c r="N543" s="165"/>
      <c r="O543" s="165"/>
      <c r="P543" s="160"/>
      <c r="Q543" s="166"/>
      <c r="R543" s="165"/>
      <c r="S543" s="165"/>
      <c r="T543" s="159"/>
      <c r="U543" s="160"/>
      <c r="V543" s="165"/>
      <c r="W543" s="165"/>
      <c r="X543" s="160"/>
      <c r="Y543" s="166"/>
      <c r="Z543" s="160"/>
      <c r="AA543" s="160"/>
      <c r="AB543" s="165"/>
      <c r="AC543" s="165"/>
      <c r="AD543" s="165"/>
      <c r="AE543" s="165"/>
      <c r="AF543" s="160"/>
      <c r="AG543" s="160"/>
      <c r="AH543" s="160"/>
      <c r="AI543" s="160"/>
      <c r="AJ543" s="161"/>
      <c r="AK543" s="162"/>
      <c r="AL543" s="165"/>
      <c r="AM543" s="166"/>
      <c r="AN543" s="165"/>
      <c r="AO543" s="160"/>
      <c r="AP543" s="162"/>
      <c r="AQ543" s="161"/>
      <c r="AR543" s="162"/>
      <c r="AS543" s="161"/>
      <c r="AT543" s="165"/>
      <c r="AU543" s="166"/>
      <c r="AV543" s="165"/>
      <c r="AW543" s="166"/>
      <c r="AX543" s="165"/>
      <c r="AY543" s="165"/>
      <c r="AZ543" s="165"/>
      <c r="BA543" s="165"/>
      <c r="BB543" s="166"/>
      <c r="BC543" s="165"/>
      <c r="BD543" s="165"/>
      <c r="BE543" s="165"/>
      <c r="BF543" s="165"/>
      <c r="BG543" s="165"/>
      <c r="BH543" s="165"/>
      <c r="BI543" s="165"/>
      <c r="BJ543" s="166"/>
      <c r="BK543" s="165"/>
      <c r="BL543" s="165"/>
      <c r="BM543" s="163"/>
      <c r="BN543" s="165"/>
      <c r="BO543" s="165"/>
      <c r="BP543" s="165"/>
      <c r="BQ543" s="167"/>
    </row>
    <row r="544" spans="1:69" ht="39.950000000000003" customHeight="1" outlineLevel="1" x14ac:dyDescent="0.3">
      <c r="A544" s="15" t="s">
        <v>649</v>
      </c>
      <c r="B544" s="14" t="s">
        <v>670</v>
      </c>
      <c r="C544" s="9" t="s">
        <v>6</v>
      </c>
      <c r="D544" s="66" t="s">
        <v>671</v>
      </c>
      <c r="E544" s="158">
        <f t="shared" si="107"/>
        <v>764.11545999999998</v>
      </c>
      <c r="F544" s="159">
        <f t="shared" si="110"/>
        <v>236.11276000000001</v>
      </c>
      <c r="G544" s="160">
        <f t="shared" si="111"/>
        <v>528.0027</v>
      </c>
      <c r="H544" s="166"/>
      <c r="I544" s="165"/>
      <c r="J544" s="160"/>
      <c r="K544" s="160"/>
      <c r="L544" s="166">
        <v>236.11276000000001</v>
      </c>
      <c r="M544" s="165">
        <v>370.06344999999999</v>
      </c>
      <c r="N544" s="165"/>
      <c r="O544" s="165"/>
      <c r="P544" s="160"/>
      <c r="Q544" s="166"/>
      <c r="R544" s="165"/>
      <c r="S544" s="165"/>
      <c r="T544" s="159"/>
      <c r="U544" s="160"/>
      <c r="V544" s="165"/>
      <c r="W544" s="165"/>
      <c r="X544" s="160"/>
      <c r="Y544" s="166"/>
      <c r="Z544" s="160"/>
      <c r="AA544" s="160"/>
      <c r="AB544" s="165"/>
      <c r="AC544" s="165"/>
      <c r="AD544" s="165"/>
      <c r="AE544" s="165"/>
      <c r="AF544" s="160"/>
      <c r="AG544" s="160"/>
      <c r="AH544" s="160"/>
      <c r="AI544" s="160"/>
      <c r="AJ544" s="161"/>
      <c r="AK544" s="162"/>
      <c r="AL544" s="165"/>
      <c r="AM544" s="166"/>
      <c r="AN544" s="165"/>
      <c r="AO544" s="160"/>
      <c r="AP544" s="162"/>
      <c r="AQ544" s="161"/>
      <c r="AR544" s="162"/>
      <c r="AS544" s="161"/>
      <c r="AT544" s="165"/>
      <c r="AU544" s="166"/>
      <c r="AV544" s="165"/>
      <c r="AW544" s="166"/>
      <c r="AX544" s="165"/>
      <c r="AY544" s="165"/>
      <c r="AZ544" s="165"/>
      <c r="BA544" s="165"/>
      <c r="BB544" s="166"/>
      <c r="BC544" s="165"/>
      <c r="BD544" s="165"/>
      <c r="BE544" s="165">
        <v>157.93924999999999</v>
      </c>
      <c r="BF544" s="165"/>
      <c r="BG544" s="165"/>
      <c r="BH544" s="165"/>
      <c r="BI544" s="165"/>
      <c r="BJ544" s="166"/>
      <c r="BK544" s="165"/>
      <c r="BL544" s="165"/>
      <c r="BM544" s="163"/>
      <c r="BN544" s="165"/>
      <c r="BO544" s="165"/>
      <c r="BP544" s="165"/>
      <c r="BQ544" s="167"/>
    </row>
    <row r="545" spans="1:270" ht="39.950000000000003" customHeight="1" outlineLevel="1" x14ac:dyDescent="0.3">
      <c r="A545" s="17" t="s">
        <v>649</v>
      </c>
      <c r="B545" s="12" t="s">
        <v>659</v>
      </c>
      <c r="C545" s="9" t="s">
        <v>6</v>
      </c>
      <c r="D545" s="66" t="s">
        <v>660</v>
      </c>
      <c r="E545" s="158">
        <f t="shared" si="107"/>
        <v>4031.9998500000002</v>
      </c>
      <c r="F545" s="159">
        <f t="shared" si="110"/>
        <v>892.83934999999997</v>
      </c>
      <c r="G545" s="160">
        <f t="shared" si="111"/>
        <v>3139.1605000000004</v>
      </c>
      <c r="H545" s="166">
        <v>291.4905</v>
      </c>
      <c r="I545" s="165">
        <v>97.163499999999999</v>
      </c>
      <c r="J545" s="160"/>
      <c r="K545" s="160"/>
      <c r="L545" s="166">
        <v>484.56556999999998</v>
      </c>
      <c r="M545" s="165">
        <v>759.46765000000005</v>
      </c>
      <c r="N545" s="165"/>
      <c r="O545" s="165">
        <v>499.38</v>
      </c>
      <c r="P545" s="160"/>
      <c r="Q545" s="166"/>
      <c r="R545" s="165"/>
      <c r="S545" s="165">
        <f>43.89167+47.91666</f>
        <v>91.808329999999998</v>
      </c>
      <c r="T545" s="159"/>
      <c r="U545" s="160"/>
      <c r="V545" s="165"/>
      <c r="W545" s="165">
        <v>881.92</v>
      </c>
      <c r="X545" s="160"/>
      <c r="Y545" s="166"/>
      <c r="Z545" s="160"/>
      <c r="AA545" s="160"/>
      <c r="AB545" s="165"/>
      <c r="AC545" s="165"/>
      <c r="AD545" s="165"/>
      <c r="AE545" s="165"/>
      <c r="AF545" s="160"/>
      <c r="AG545" s="160"/>
      <c r="AH545" s="160"/>
      <c r="AI545" s="160"/>
      <c r="AJ545" s="161"/>
      <c r="AK545" s="162"/>
      <c r="AL545" s="165"/>
      <c r="AM545" s="166"/>
      <c r="AN545" s="165"/>
      <c r="AO545" s="160"/>
      <c r="AP545" s="162"/>
      <c r="AQ545" s="161"/>
      <c r="AR545" s="162"/>
      <c r="AS545" s="161"/>
      <c r="AT545" s="165"/>
      <c r="AU545" s="166"/>
      <c r="AV545" s="165"/>
      <c r="AW545" s="166">
        <v>116.78328</v>
      </c>
      <c r="AX545" s="165">
        <f>23.50832+34.88331</f>
        <v>58.391630000000006</v>
      </c>
      <c r="AY545" s="165"/>
      <c r="AZ545" s="165"/>
      <c r="BA545" s="165">
        <v>69.719660000000005</v>
      </c>
      <c r="BB545" s="166"/>
      <c r="BC545" s="165"/>
      <c r="BD545" s="165"/>
      <c r="BE545" s="165">
        <v>97.119029999999995</v>
      </c>
      <c r="BF545" s="165"/>
      <c r="BG545" s="165">
        <v>345.74349999999998</v>
      </c>
      <c r="BH545" s="165"/>
      <c r="BI545" s="165"/>
      <c r="BJ545" s="166"/>
      <c r="BK545" s="165"/>
      <c r="BL545" s="165"/>
      <c r="BM545" s="163"/>
      <c r="BN545" s="165"/>
      <c r="BO545" s="165">
        <v>238.44720000000001</v>
      </c>
      <c r="BP545" s="165"/>
      <c r="BQ545" s="167"/>
    </row>
    <row r="546" spans="1:270" ht="39.950000000000003" customHeight="1" outlineLevel="1" x14ac:dyDescent="0.3">
      <c r="A546" s="15" t="s">
        <v>649</v>
      </c>
      <c r="B546" s="12" t="s">
        <v>656</v>
      </c>
      <c r="C546" s="9" t="s">
        <v>6</v>
      </c>
      <c r="D546" s="66" t="s">
        <v>657</v>
      </c>
      <c r="E546" s="158">
        <f t="shared" si="107"/>
        <v>3716.8254099999999</v>
      </c>
      <c r="F546" s="159">
        <f t="shared" si="110"/>
        <v>221.59939</v>
      </c>
      <c r="G546" s="160">
        <f t="shared" si="111"/>
        <v>3495.2260200000001</v>
      </c>
      <c r="H546" s="166">
        <v>28.825109999999999</v>
      </c>
      <c r="I546" s="165">
        <v>9.6083700000000007</v>
      </c>
      <c r="J546" s="160"/>
      <c r="K546" s="160"/>
      <c r="L546" s="166">
        <v>192.77428</v>
      </c>
      <c r="M546" s="165">
        <v>302.13832000000002</v>
      </c>
      <c r="N546" s="165"/>
      <c r="O546" s="165"/>
      <c r="P546" s="160"/>
      <c r="Q546" s="166"/>
      <c r="R546" s="165"/>
      <c r="S546" s="165"/>
      <c r="T546" s="159"/>
      <c r="U546" s="160"/>
      <c r="V546" s="165"/>
      <c r="W546" s="165"/>
      <c r="X546" s="160"/>
      <c r="Y546" s="166"/>
      <c r="Z546" s="160"/>
      <c r="AA546" s="160"/>
      <c r="AB546" s="165"/>
      <c r="AC546" s="165"/>
      <c r="AD546" s="165"/>
      <c r="AE546" s="165"/>
      <c r="AF546" s="160"/>
      <c r="AG546" s="160"/>
      <c r="AH546" s="160"/>
      <c r="AI546" s="160"/>
      <c r="AJ546" s="161"/>
      <c r="AK546" s="162"/>
      <c r="AL546" s="165"/>
      <c r="AM546" s="166"/>
      <c r="AN546" s="165"/>
      <c r="AO546" s="160"/>
      <c r="AP546" s="162"/>
      <c r="AQ546" s="161"/>
      <c r="AR546" s="162"/>
      <c r="AS546" s="161"/>
      <c r="AT546" s="165"/>
      <c r="AU546" s="166"/>
      <c r="AV546" s="165"/>
      <c r="AW546" s="166"/>
      <c r="AX546" s="165"/>
      <c r="AY546" s="165"/>
      <c r="AZ546" s="165"/>
      <c r="BA546" s="165"/>
      <c r="BB546" s="166"/>
      <c r="BC546" s="165"/>
      <c r="BD546" s="165"/>
      <c r="BE546" s="165"/>
      <c r="BF546" s="165">
        <v>3183.4793300000001</v>
      </c>
      <c r="BG546" s="165"/>
      <c r="BH546" s="165"/>
      <c r="BI546" s="165"/>
      <c r="BJ546" s="166"/>
      <c r="BK546" s="165"/>
      <c r="BL546" s="165"/>
      <c r="BM546" s="163"/>
      <c r="BN546" s="165"/>
      <c r="BO546" s="165"/>
      <c r="BP546" s="165"/>
      <c r="BQ546" s="167"/>
    </row>
    <row r="547" spans="1:270" ht="39.950000000000003" customHeight="1" outlineLevel="1" x14ac:dyDescent="0.3">
      <c r="A547" s="15" t="s">
        <v>649</v>
      </c>
      <c r="B547" s="14" t="s">
        <v>661</v>
      </c>
      <c r="C547" s="9" t="s">
        <v>6</v>
      </c>
      <c r="D547" s="66" t="s">
        <v>662</v>
      </c>
      <c r="E547" s="158">
        <f t="shared" si="107"/>
        <v>847.53395999999998</v>
      </c>
      <c r="F547" s="159">
        <f t="shared" si="110"/>
        <v>180.16242</v>
      </c>
      <c r="G547" s="160">
        <f t="shared" si="111"/>
        <v>667.37153999999998</v>
      </c>
      <c r="H547" s="166"/>
      <c r="I547" s="165"/>
      <c r="J547" s="160"/>
      <c r="K547" s="160"/>
      <c r="L547" s="166">
        <v>180.16242</v>
      </c>
      <c r="M547" s="165">
        <v>282.37153999999998</v>
      </c>
      <c r="N547" s="165"/>
      <c r="O547" s="165">
        <v>290</v>
      </c>
      <c r="P547" s="160"/>
      <c r="Q547" s="166"/>
      <c r="R547" s="165"/>
      <c r="S547" s="165"/>
      <c r="T547" s="159"/>
      <c r="U547" s="160"/>
      <c r="V547" s="165"/>
      <c r="W547" s="165"/>
      <c r="X547" s="160"/>
      <c r="Y547" s="166"/>
      <c r="Z547" s="160"/>
      <c r="AA547" s="160"/>
      <c r="AB547" s="165"/>
      <c r="AC547" s="165"/>
      <c r="AD547" s="165"/>
      <c r="AE547" s="165"/>
      <c r="AF547" s="160"/>
      <c r="AG547" s="160"/>
      <c r="AH547" s="160"/>
      <c r="AI547" s="160"/>
      <c r="AJ547" s="161"/>
      <c r="AK547" s="162"/>
      <c r="AL547" s="165"/>
      <c r="AM547" s="166"/>
      <c r="AN547" s="165"/>
      <c r="AO547" s="160"/>
      <c r="AP547" s="162"/>
      <c r="AQ547" s="161"/>
      <c r="AR547" s="162"/>
      <c r="AS547" s="161"/>
      <c r="AT547" s="165"/>
      <c r="AU547" s="166"/>
      <c r="AV547" s="165"/>
      <c r="AW547" s="166"/>
      <c r="AX547" s="165"/>
      <c r="AY547" s="165"/>
      <c r="AZ547" s="165"/>
      <c r="BA547" s="165"/>
      <c r="BB547" s="166"/>
      <c r="BC547" s="165"/>
      <c r="BD547" s="165"/>
      <c r="BE547" s="165"/>
      <c r="BF547" s="165"/>
      <c r="BG547" s="165">
        <v>95</v>
      </c>
      <c r="BH547" s="165"/>
      <c r="BI547" s="165"/>
      <c r="BJ547" s="166"/>
      <c r="BK547" s="165"/>
      <c r="BL547" s="165"/>
      <c r="BM547" s="163"/>
      <c r="BN547" s="165"/>
      <c r="BO547" s="165"/>
      <c r="BP547" s="165"/>
      <c r="BQ547" s="167"/>
    </row>
    <row r="548" spans="1:270" ht="39.950000000000003" customHeight="1" outlineLevel="1" x14ac:dyDescent="0.3">
      <c r="A548" s="15" t="s">
        <v>649</v>
      </c>
      <c r="B548" s="14" t="s">
        <v>663</v>
      </c>
      <c r="C548" s="9" t="s">
        <v>6</v>
      </c>
      <c r="D548" s="66" t="s">
        <v>664</v>
      </c>
      <c r="E548" s="158">
        <f t="shared" si="107"/>
        <v>2828.2009699999999</v>
      </c>
      <c r="F548" s="159">
        <f t="shared" si="110"/>
        <v>1345.3400000000001</v>
      </c>
      <c r="G548" s="160">
        <f t="shared" si="111"/>
        <v>1482.86097</v>
      </c>
      <c r="H548" s="166">
        <v>586.36499000000003</v>
      </c>
      <c r="I548" s="165">
        <v>195.45500999999999</v>
      </c>
      <c r="J548" s="160"/>
      <c r="K548" s="160"/>
      <c r="L548" s="166">
        <v>758.97501</v>
      </c>
      <c r="M548" s="165">
        <v>1189.55413</v>
      </c>
      <c r="N548" s="165"/>
      <c r="O548" s="165"/>
      <c r="P548" s="160"/>
      <c r="Q548" s="166"/>
      <c r="R548" s="165"/>
      <c r="S548" s="165"/>
      <c r="T548" s="159"/>
      <c r="U548" s="160"/>
      <c r="V548" s="165"/>
      <c r="W548" s="165"/>
      <c r="X548" s="160"/>
      <c r="Y548" s="166"/>
      <c r="Z548" s="160"/>
      <c r="AA548" s="160"/>
      <c r="AB548" s="165"/>
      <c r="AC548" s="165"/>
      <c r="AD548" s="165"/>
      <c r="AE548" s="165"/>
      <c r="AF548" s="160"/>
      <c r="AG548" s="160"/>
      <c r="AH548" s="160"/>
      <c r="AI548" s="160"/>
      <c r="AJ548" s="161"/>
      <c r="AK548" s="162"/>
      <c r="AL548" s="165"/>
      <c r="AM548" s="166"/>
      <c r="AN548" s="165"/>
      <c r="AO548" s="160"/>
      <c r="AP548" s="162"/>
      <c r="AQ548" s="161"/>
      <c r="AR548" s="162"/>
      <c r="AS548" s="161"/>
      <c r="AT548" s="165"/>
      <c r="AU548" s="166"/>
      <c r="AV548" s="165"/>
      <c r="AW548" s="166"/>
      <c r="AX548" s="165"/>
      <c r="AY548" s="165"/>
      <c r="AZ548" s="165"/>
      <c r="BA548" s="165"/>
      <c r="BB548" s="166"/>
      <c r="BC548" s="165"/>
      <c r="BD548" s="165"/>
      <c r="BE548" s="165"/>
      <c r="BF548" s="165"/>
      <c r="BG548" s="165">
        <v>32.5</v>
      </c>
      <c r="BH548" s="165"/>
      <c r="BI548" s="165"/>
      <c r="BJ548" s="166"/>
      <c r="BK548" s="165"/>
      <c r="BL548" s="165"/>
      <c r="BM548" s="163"/>
      <c r="BN548" s="165"/>
      <c r="BO548" s="165">
        <v>65.351830000000007</v>
      </c>
      <c r="BP548" s="165"/>
      <c r="BQ548" s="167"/>
    </row>
    <row r="549" spans="1:270" ht="39.950000000000003" customHeight="1" outlineLevel="1" x14ac:dyDescent="0.3">
      <c r="A549" s="17" t="s">
        <v>649</v>
      </c>
      <c r="B549" s="12" t="s">
        <v>652</v>
      </c>
      <c r="C549" s="9" t="s">
        <v>6</v>
      </c>
      <c r="D549" s="68" t="s">
        <v>653</v>
      </c>
      <c r="E549" s="158">
        <f t="shared" si="107"/>
        <v>883.44537000000003</v>
      </c>
      <c r="F549" s="159">
        <f t="shared" si="110"/>
        <v>245.43979999999999</v>
      </c>
      <c r="G549" s="160">
        <f t="shared" si="111"/>
        <v>638.00557000000003</v>
      </c>
      <c r="H549" s="166"/>
      <c r="I549" s="165"/>
      <c r="J549" s="160"/>
      <c r="K549" s="160"/>
      <c r="L549" s="166">
        <v>245.43979999999999</v>
      </c>
      <c r="M549" s="165">
        <v>384.68187</v>
      </c>
      <c r="N549" s="165"/>
      <c r="O549" s="165"/>
      <c r="P549" s="160"/>
      <c r="Q549" s="166"/>
      <c r="R549" s="165"/>
      <c r="S549" s="165"/>
      <c r="T549" s="159"/>
      <c r="U549" s="160"/>
      <c r="V549" s="165"/>
      <c r="W549" s="165"/>
      <c r="X549" s="160"/>
      <c r="Y549" s="166"/>
      <c r="Z549" s="160"/>
      <c r="AA549" s="160"/>
      <c r="AB549" s="165"/>
      <c r="AC549" s="165"/>
      <c r="AD549" s="165"/>
      <c r="AE549" s="165"/>
      <c r="AF549" s="160"/>
      <c r="AG549" s="160"/>
      <c r="AH549" s="160"/>
      <c r="AI549" s="160"/>
      <c r="AJ549" s="161"/>
      <c r="AK549" s="162"/>
      <c r="AL549" s="165"/>
      <c r="AM549" s="166"/>
      <c r="AN549" s="165"/>
      <c r="AO549" s="160"/>
      <c r="AP549" s="162"/>
      <c r="AQ549" s="161"/>
      <c r="AR549" s="162"/>
      <c r="AS549" s="161"/>
      <c r="AT549" s="165"/>
      <c r="AU549" s="166"/>
      <c r="AV549" s="165"/>
      <c r="AW549" s="166"/>
      <c r="AX549" s="165"/>
      <c r="AY549" s="165"/>
      <c r="AZ549" s="165"/>
      <c r="BA549" s="165"/>
      <c r="BB549" s="166"/>
      <c r="BC549" s="165"/>
      <c r="BD549" s="165"/>
      <c r="BE549" s="165">
        <v>253.3237</v>
      </c>
      <c r="BF549" s="165"/>
      <c r="BG549" s="165"/>
      <c r="BH549" s="165"/>
      <c r="BI549" s="165"/>
      <c r="BJ549" s="166"/>
      <c r="BK549" s="165"/>
      <c r="BL549" s="165"/>
      <c r="BM549" s="163"/>
      <c r="BN549" s="165"/>
      <c r="BO549" s="165"/>
      <c r="BP549" s="165"/>
      <c r="BQ549" s="167"/>
    </row>
    <row r="550" spans="1:270" ht="39.950000000000003" customHeight="1" outlineLevel="1" x14ac:dyDescent="0.3">
      <c r="A550" s="15" t="s">
        <v>649</v>
      </c>
      <c r="B550" s="14" t="s">
        <v>654</v>
      </c>
      <c r="C550" s="9" t="s">
        <v>6</v>
      </c>
      <c r="D550" s="66" t="s">
        <v>655</v>
      </c>
      <c r="E550" s="158">
        <f t="shared" si="107"/>
        <v>17865.989440000001</v>
      </c>
      <c r="F550" s="159">
        <f t="shared" si="110"/>
        <v>2785.8964700000001</v>
      </c>
      <c r="G550" s="160">
        <f t="shared" si="111"/>
        <v>15080.09297</v>
      </c>
      <c r="H550" s="166">
        <v>324.93635</v>
      </c>
      <c r="I550" s="165">
        <v>108.31211</v>
      </c>
      <c r="J550" s="160">
        <v>549</v>
      </c>
      <c r="K550" s="160"/>
      <c r="L550" s="166">
        <v>1001.28354</v>
      </c>
      <c r="M550" s="165">
        <v>1569.3282999999999</v>
      </c>
      <c r="N550" s="165"/>
      <c r="O550" s="165"/>
      <c r="P550" s="160"/>
      <c r="Q550" s="166"/>
      <c r="R550" s="165"/>
      <c r="S550" s="165"/>
      <c r="T550" s="159"/>
      <c r="U550" s="160"/>
      <c r="V550" s="165"/>
      <c r="W550" s="165"/>
      <c r="X550" s="160"/>
      <c r="Y550" s="166">
        <v>1459.6765800000001</v>
      </c>
      <c r="Z550" s="160">
        <v>486.55885999999998</v>
      </c>
      <c r="AA550" s="160">
        <v>6404.3936999999996</v>
      </c>
      <c r="AB550" s="165"/>
      <c r="AC550" s="165"/>
      <c r="AD550" s="165"/>
      <c r="AE550" s="165"/>
      <c r="AF550" s="160"/>
      <c r="AG550" s="160"/>
      <c r="AH550" s="160"/>
      <c r="AI550" s="160"/>
      <c r="AJ550" s="161"/>
      <c r="AK550" s="162"/>
      <c r="AL550" s="165"/>
      <c r="AM550" s="166"/>
      <c r="AN550" s="165"/>
      <c r="AO550" s="160"/>
      <c r="AP550" s="162"/>
      <c r="AQ550" s="161"/>
      <c r="AR550" s="162"/>
      <c r="AS550" s="161"/>
      <c r="AT550" s="165"/>
      <c r="AU550" s="166"/>
      <c r="AV550" s="165"/>
      <c r="AW550" s="166"/>
      <c r="AX550" s="165"/>
      <c r="AY550" s="165"/>
      <c r="AZ550" s="165"/>
      <c r="BA550" s="165"/>
      <c r="BB550" s="166"/>
      <c r="BC550" s="165"/>
      <c r="BD550" s="165"/>
      <c r="BE550" s="165"/>
      <c r="BF550" s="165"/>
      <c r="BG550" s="165"/>
      <c r="BH550" s="165">
        <v>5962.5</v>
      </c>
      <c r="BI550" s="165"/>
      <c r="BJ550" s="166"/>
      <c r="BK550" s="165"/>
      <c r="BL550" s="165"/>
      <c r="BM550" s="163"/>
      <c r="BN550" s="165"/>
      <c r="BO550" s="165"/>
      <c r="BP550" s="165"/>
      <c r="BQ550" s="167"/>
    </row>
    <row r="551" spans="1:270" ht="39.950000000000003" customHeight="1" outlineLevel="1" x14ac:dyDescent="0.3">
      <c r="A551" s="17" t="s">
        <v>649</v>
      </c>
      <c r="B551" s="12" t="s">
        <v>668</v>
      </c>
      <c r="C551" s="9" t="s">
        <v>6</v>
      </c>
      <c r="D551" s="66" t="s">
        <v>669</v>
      </c>
      <c r="E551" s="158">
        <f t="shared" si="107"/>
        <v>1441.2891400000001</v>
      </c>
      <c r="F551" s="159">
        <f t="shared" si="110"/>
        <v>618.76998000000003</v>
      </c>
      <c r="G551" s="160">
        <f t="shared" si="111"/>
        <v>822.51916000000006</v>
      </c>
      <c r="H551" s="166"/>
      <c r="I551" s="165"/>
      <c r="J551" s="160"/>
      <c r="K551" s="160"/>
      <c r="L551" s="166">
        <v>495.97079000000002</v>
      </c>
      <c r="M551" s="165">
        <v>777.34324000000004</v>
      </c>
      <c r="N551" s="165"/>
      <c r="O551" s="165"/>
      <c r="P551" s="160"/>
      <c r="Q551" s="166"/>
      <c r="R551" s="165"/>
      <c r="S551" s="165"/>
      <c r="T551" s="159"/>
      <c r="U551" s="160"/>
      <c r="V551" s="165"/>
      <c r="W551" s="165"/>
      <c r="X551" s="160"/>
      <c r="Y551" s="166"/>
      <c r="Z551" s="160"/>
      <c r="AA551" s="160"/>
      <c r="AB551" s="165"/>
      <c r="AC551" s="165"/>
      <c r="AD551" s="165"/>
      <c r="AE551" s="165"/>
      <c r="AF551" s="160"/>
      <c r="AG551" s="160"/>
      <c r="AH551" s="160"/>
      <c r="AI551" s="160"/>
      <c r="AJ551" s="161"/>
      <c r="AK551" s="162"/>
      <c r="AL551" s="165"/>
      <c r="AM551" s="166"/>
      <c r="AN551" s="165"/>
      <c r="AO551" s="160"/>
      <c r="AP551" s="162"/>
      <c r="AQ551" s="161"/>
      <c r="AR551" s="162"/>
      <c r="AS551" s="161"/>
      <c r="AT551" s="165"/>
      <c r="AU551" s="166"/>
      <c r="AV551" s="165"/>
      <c r="AW551" s="166">
        <f>45.90714+76.89205</f>
        <v>122.79919</v>
      </c>
      <c r="AX551" s="165">
        <f>3.50265+4.99299+13.71252+22.96776</f>
        <v>45.175919999999998</v>
      </c>
      <c r="AY551" s="165"/>
      <c r="AZ551" s="165"/>
      <c r="BA551" s="165"/>
      <c r="BB551" s="166"/>
      <c r="BC551" s="165"/>
      <c r="BD551" s="165"/>
      <c r="BE551" s="165"/>
      <c r="BF551" s="165"/>
      <c r="BG551" s="165"/>
      <c r="BH551" s="165"/>
      <c r="BI551" s="165"/>
      <c r="BJ551" s="166"/>
      <c r="BK551" s="165"/>
      <c r="BL551" s="165"/>
      <c r="BM551" s="163"/>
      <c r="BN551" s="165"/>
      <c r="BO551" s="165"/>
      <c r="BP551" s="165"/>
      <c r="BQ551" s="167"/>
    </row>
    <row r="552" spans="1:270" ht="39.950000000000003" customHeight="1" outlineLevel="1" x14ac:dyDescent="0.3">
      <c r="A552" s="15" t="s">
        <v>649</v>
      </c>
      <c r="B552" s="14" t="s">
        <v>1345</v>
      </c>
      <c r="C552" s="9" t="s">
        <v>6</v>
      </c>
      <c r="D552" s="66" t="s">
        <v>658</v>
      </c>
      <c r="E552" s="158">
        <f t="shared" si="107"/>
        <v>933.0122100000001</v>
      </c>
      <c r="F552" s="159">
        <f t="shared" si="110"/>
        <v>555.19897000000003</v>
      </c>
      <c r="G552" s="160">
        <f t="shared" si="111"/>
        <v>377.81324000000001</v>
      </c>
      <c r="H552" s="166">
        <v>399</v>
      </c>
      <c r="I552" s="165">
        <v>133</v>
      </c>
      <c r="J552" s="160"/>
      <c r="K552" s="160"/>
      <c r="L552" s="166">
        <v>156.19897</v>
      </c>
      <c r="M552" s="165">
        <v>244.81324000000001</v>
      </c>
      <c r="N552" s="165"/>
      <c r="O552" s="165"/>
      <c r="P552" s="160"/>
      <c r="Q552" s="166"/>
      <c r="R552" s="165"/>
      <c r="S552" s="165"/>
      <c r="T552" s="159"/>
      <c r="U552" s="160"/>
      <c r="V552" s="165"/>
      <c r="W552" s="165"/>
      <c r="X552" s="160"/>
      <c r="Y552" s="166"/>
      <c r="Z552" s="160"/>
      <c r="AA552" s="160"/>
      <c r="AB552" s="165"/>
      <c r="AC552" s="165"/>
      <c r="AD552" s="165"/>
      <c r="AE552" s="165"/>
      <c r="AF552" s="160"/>
      <c r="AG552" s="160"/>
      <c r="AH552" s="160"/>
      <c r="AI552" s="160"/>
      <c r="AJ552" s="161"/>
      <c r="AK552" s="162"/>
      <c r="AL552" s="165"/>
      <c r="AM552" s="166"/>
      <c r="AN552" s="165"/>
      <c r="AO552" s="160"/>
      <c r="AP552" s="162"/>
      <c r="AQ552" s="161"/>
      <c r="AR552" s="162"/>
      <c r="AS552" s="161"/>
      <c r="AT552" s="165"/>
      <c r="AU552" s="166"/>
      <c r="AV552" s="165"/>
      <c r="AW552" s="166"/>
      <c r="AX552" s="165"/>
      <c r="AY552" s="165"/>
      <c r="AZ552" s="165"/>
      <c r="BA552" s="165"/>
      <c r="BB552" s="166"/>
      <c r="BC552" s="165"/>
      <c r="BD552" s="165"/>
      <c r="BE552" s="165"/>
      <c r="BF552" s="165"/>
      <c r="BG552" s="165"/>
      <c r="BH552" s="165"/>
      <c r="BI552" s="165"/>
      <c r="BJ552" s="166"/>
      <c r="BK552" s="165"/>
      <c r="BL552" s="165"/>
      <c r="BM552" s="163"/>
      <c r="BN552" s="165"/>
      <c r="BO552" s="165"/>
      <c r="BP552" s="165"/>
      <c r="BQ552" s="167"/>
    </row>
    <row r="553" spans="1:270" s="34" customFormat="1" ht="39.950000000000003" customHeight="1" x14ac:dyDescent="0.3">
      <c r="A553" s="118" t="s">
        <v>715</v>
      </c>
      <c r="B553" s="120"/>
      <c r="C553" s="116" t="s">
        <v>80</v>
      </c>
      <c r="D553" s="117"/>
      <c r="E553" s="171">
        <f t="shared" ref="E553:AI553" si="112">SUBTOTAL(9,E501:E552)</f>
        <v>193476.61161999995</v>
      </c>
      <c r="F553" s="171">
        <f t="shared" si="112"/>
        <v>42145.723819999999</v>
      </c>
      <c r="G553" s="171">
        <f t="shared" si="112"/>
        <v>151330.8878</v>
      </c>
      <c r="H553" s="171">
        <f t="shared" si="112"/>
        <v>9225.1797399999996</v>
      </c>
      <c r="I553" s="171">
        <f t="shared" si="112"/>
        <v>3075.0599099999999</v>
      </c>
      <c r="J553" s="171">
        <f t="shared" si="112"/>
        <v>2631</v>
      </c>
      <c r="K553" s="171">
        <f t="shared" si="112"/>
        <v>0</v>
      </c>
      <c r="L553" s="171">
        <f t="shared" si="112"/>
        <v>7647.0221600000004</v>
      </c>
      <c r="M553" s="171">
        <f t="shared" si="112"/>
        <v>11985.304669999998</v>
      </c>
      <c r="N553" s="171">
        <f t="shared" si="112"/>
        <v>0</v>
      </c>
      <c r="O553" s="171">
        <f>SUBTOTAL(9,O501:O552)</f>
        <v>2923.78</v>
      </c>
      <c r="P553" s="171">
        <f>SUBTOTAL(9,P501:P552)</f>
        <v>0</v>
      </c>
      <c r="Q553" s="171">
        <f t="shared" si="112"/>
        <v>9062.1033000000007</v>
      </c>
      <c r="R553" s="171">
        <f t="shared" si="112"/>
        <v>3020.7011000000002</v>
      </c>
      <c r="S553" s="171">
        <f t="shared" si="112"/>
        <v>313.80833000000001</v>
      </c>
      <c r="T553" s="171">
        <f>SUBTOTAL(9,T501:T552)</f>
        <v>560.16904999999997</v>
      </c>
      <c r="U553" s="171">
        <f>SUBTOTAL(9,U501:U552)</f>
        <v>186.72301999999999</v>
      </c>
      <c r="V553" s="171">
        <f t="shared" si="112"/>
        <v>0</v>
      </c>
      <c r="W553" s="171">
        <f t="shared" si="112"/>
        <v>3469.4399999999996</v>
      </c>
      <c r="X553" s="171">
        <f>SUBTOTAL(9,X501:X552)</f>
        <v>0</v>
      </c>
      <c r="Y553" s="171">
        <f t="shared" si="112"/>
        <v>6068.9170999999997</v>
      </c>
      <c r="Z553" s="171">
        <f t="shared" si="112"/>
        <v>2022.9723600000002</v>
      </c>
      <c r="AA553" s="171">
        <f t="shared" si="112"/>
        <v>26449.264900000002</v>
      </c>
      <c r="AB553" s="171">
        <f t="shared" si="112"/>
        <v>0</v>
      </c>
      <c r="AC553" s="171">
        <f t="shared" si="112"/>
        <v>0</v>
      </c>
      <c r="AD553" s="171">
        <f>SUBTOTAL(9,AD501:AD552)</f>
        <v>0</v>
      </c>
      <c r="AE553" s="171">
        <f t="shared" si="112"/>
        <v>0</v>
      </c>
      <c r="AF553" s="171">
        <f t="shared" si="112"/>
        <v>2177.2280000000001</v>
      </c>
      <c r="AG553" s="171">
        <f t="shared" si="112"/>
        <v>12.41595</v>
      </c>
      <c r="AH553" s="171">
        <f t="shared" si="112"/>
        <v>0</v>
      </c>
      <c r="AI553" s="171">
        <f t="shared" si="112"/>
        <v>1391.74927</v>
      </c>
      <c r="AJ553" s="171">
        <f t="shared" ref="AJ553:BQ553" si="113">SUBTOTAL(9,AJ501:AJ552)</f>
        <v>0</v>
      </c>
      <c r="AK553" s="171">
        <f t="shared" si="113"/>
        <v>0</v>
      </c>
      <c r="AL553" s="171">
        <f t="shared" si="113"/>
        <v>0</v>
      </c>
      <c r="AM553" s="171">
        <f>SUBTOTAL(9,AM501:AM552)</f>
        <v>0</v>
      </c>
      <c r="AN553" s="171">
        <f>SUBTOTAL(9,AN501:AN552)</f>
        <v>0</v>
      </c>
      <c r="AO553" s="171">
        <f>SUBTOTAL(9,AO501:AO552)</f>
        <v>0</v>
      </c>
      <c r="AP553" s="171">
        <f t="shared" si="113"/>
        <v>9342.75</v>
      </c>
      <c r="AQ553" s="171">
        <f t="shared" si="113"/>
        <v>3114.25</v>
      </c>
      <c r="AR553" s="171">
        <f t="shared" si="113"/>
        <v>0</v>
      </c>
      <c r="AS553" s="171">
        <f t="shared" si="113"/>
        <v>0</v>
      </c>
      <c r="AT553" s="171">
        <f>SUBTOTAL(9,AT501:AT552)</f>
        <v>21116.726780000001</v>
      </c>
      <c r="AU553" s="171">
        <f t="shared" si="113"/>
        <v>0</v>
      </c>
      <c r="AV553" s="171">
        <f t="shared" si="113"/>
        <v>0</v>
      </c>
      <c r="AW553" s="171">
        <f t="shared" si="113"/>
        <v>239.58247</v>
      </c>
      <c r="AX553" s="171">
        <f t="shared" si="113"/>
        <v>103.56755000000001</v>
      </c>
      <c r="AY553" s="171">
        <f t="shared" si="113"/>
        <v>0</v>
      </c>
      <c r="AZ553" s="171">
        <f t="shared" si="113"/>
        <v>0</v>
      </c>
      <c r="BA553" s="171">
        <f t="shared" si="113"/>
        <v>4045.4356800000005</v>
      </c>
      <c r="BB553" s="171">
        <f t="shared" si="113"/>
        <v>0</v>
      </c>
      <c r="BC553" s="171">
        <f t="shared" si="113"/>
        <v>0</v>
      </c>
      <c r="BD553" s="171">
        <f t="shared" si="113"/>
        <v>0</v>
      </c>
      <c r="BE553" s="171">
        <f t="shared" si="113"/>
        <v>31980.265439999999</v>
      </c>
      <c r="BF553" s="171">
        <f t="shared" si="113"/>
        <v>19209.757899999997</v>
      </c>
      <c r="BG553" s="171">
        <f t="shared" si="113"/>
        <v>619.30011999999999</v>
      </c>
      <c r="BH553" s="171">
        <f t="shared" si="113"/>
        <v>9193.5334600000006</v>
      </c>
      <c r="BI553" s="171">
        <f t="shared" si="113"/>
        <v>439</v>
      </c>
      <c r="BJ553" s="171">
        <f t="shared" si="113"/>
        <v>0</v>
      </c>
      <c r="BK553" s="171">
        <f t="shared" si="113"/>
        <v>0</v>
      </c>
      <c r="BL553" s="171">
        <f t="shared" si="113"/>
        <v>0</v>
      </c>
      <c r="BM553" s="172">
        <f>SUBTOTAL(9,BM501:BM552)</f>
        <v>0</v>
      </c>
      <c r="BN553" s="171">
        <f t="shared" si="113"/>
        <v>10</v>
      </c>
      <c r="BO553" s="171">
        <f t="shared" si="113"/>
        <v>1839.6033600000001</v>
      </c>
      <c r="BP553" s="171">
        <f t="shared" si="113"/>
        <v>0</v>
      </c>
      <c r="BQ553" s="172">
        <f t="shared" si="113"/>
        <v>0</v>
      </c>
      <c r="BR553" s="40"/>
      <c r="BS553" s="40"/>
      <c r="BT553" s="40"/>
      <c r="BU553" s="40"/>
      <c r="BV553" s="40"/>
      <c r="BW553" s="40"/>
      <c r="BX553" s="40"/>
      <c r="BY553" s="40"/>
      <c r="BZ553" s="40"/>
      <c r="CA553" s="40"/>
      <c r="CB553" s="40"/>
      <c r="CC553" s="40"/>
      <c r="CD553" s="40"/>
      <c r="CE553" s="40"/>
      <c r="CF553" s="40"/>
      <c r="CG553" s="40"/>
      <c r="CH553" s="40"/>
      <c r="CI553" s="40"/>
      <c r="CJ553" s="40"/>
      <c r="CK553" s="40"/>
      <c r="CL553" s="40"/>
      <c r="CM553" s="40"/>
      <c r="CN553" s="40"/>
      <c r="CO553" s="40"/>
      <c r="CP553" s="40"/>
      <c r="CQ553" s="40"/>
      <c r="CR553" s="40"/>
      <c r="CS553" s="40"/>
      <c r="CT553" s="40"/>
      <c r="CU553" s="40"/>
      <c r="CV553" s="40"/>
      <c r="CW553" s="40"/>
      <c r="CX553" s="40"/>
      <c r="CY553" s="40"/>
      <c r="CZ553" s="40"/>
      <c r="DA553" s="40"/>
      <c r="DB553" s="40"/>
      <c r="DC553" s="40"/>
      <c r="DD553" s="40"/>
      <c r="DE553" s="40"/>
      <c r="DF553" s="40"/>
      <c r="DG553" s="40"/>
      <c r="DH553" s="40"/>
      <c r="DI553" s="40"/>
      <c r="DJ553" s="40"/>
      <c r="DK553" s="40"/>
      <c r="DL553" s="40"/>
      <c r="DM553" s="40"/>
      <c r="DN553" s="40"/>
      <c r="DO553" s="40"/>
      <c r="DP553" s="40"/>
      <c r="DQ553" s="40"/>
      <c r="DR553" s="40"/>
      <c r="DS553" s="40"/>
      <c r="DT553" s="40"/>
      <c r="DU553" s="40"/>
      <c r="DV553" s="40"/>
      <c r="DW553" s="40"/>
      <c r="DX553" s="40"/>
      <c r="DY553" s="40"/>
      <c r="DZ553" s="40"/>
      <c r="EA553" s="40"/>
      <c r="EB553" s="40"/>
      <c r="EC553" s="40"/>
      <c r="ED553" s="40"/>
      <c r="EE553" s="40"/>
      <c r="EF553" s="40"/>
      <c r="EG553" s="40"/>
      <c r="EH553" s="40"/>
      <c r="EI553" s="40"/>
      <c r="EJ553" s="40"/>
      <c r="EK553" s="40"/>
      <c r="EL553" s="40"/>
      <c r="EM553" s="40"/>
      <c r="EN553" s="40"/>
      <c r="EO553" s="40"/>
      <c r="EP553" s="40"/>
      <c r="EQ553" s="40"/>
      <c r="ER553" s="40"/>
      <c r="ES553" s="40"/>
      <c r="ET553" s="40"/>
      <c r="EU553" s="40"/>
      <c r="EV553" s="40"/>
      <c r="EW553" s="40"/>
      <c r="EX553" s="40"/>
      <c r="EY553" s="40"/>
      <c r="EZ553" s="40"/>
      <c r="FA553" s="40"/>
      <c r="FB553" s="40"/>
      <c r="FC553" s="40"/>
      <c r="FD553" s="40"/>
      <c r="FE553" s="40"/>
      <c r="FF553" s="40"/>
      <c r="FG553" s="40"/>
      <c r="FH553" s="40"/>
      <c r="FI553" s="40"/>
      <c r="FJ553" s="40"/>
      <c r="FK553" s="40"/>
      <c r="FL553" s="40"/>
      <c r="FM553" s="40"/>
      <c r="FN553" s="40"/>
      <c r="FO553" s="40"/>
      <c r="FP553" s="40"/>
      <c r="FQ553" s="40"/>
      <c r="FR553" s="40"/>
      <c r="FS553" s="40"/>
      <c r="FT553" s="40"/>
      <c r="FU553" s="40"/>
      <c r="FV553" s="40"/>
      <c r="FW553" s="40"/>
      <c r="FX553" s="40"/>
      <c r="FY553" s="40"/>
      <c r="FZ553" s="40"/>
      <c r="GA553" s="40"/>
      <c r="GB553" s="40"/>
      <c r="GC553" s="40"/>
      <c r="GD553" s="40"/>
      <c r="GE553" s="40"/>
      <c r="GF553" s="40"/>
      <c r="GG553" s="40"/>
      <c r="GH553" s="40"/>
      <c r="GI553" s="40"/>
      <c r="GJ553" s="40"/>
      <c r="GK553" s="40"/>
      <c r="GL553" s="40"/>
      <c r="GM553" s="40"/>
      <c r="GN553" s="40"/>
      <c r="GO553" s="40"/>
      <c r="GP553" s="40"/>
      <c r="GQ553" s="40"/>
      <c r="GR553" s="40"/>
      <c r="GS553" s="40"/>
      <c r="GT553" s="40"/>
      <c r="GU553" s="40"/>
      <c r="GV553" s="40"/>
      <c r="GW553" s="40"/>
      <c r="GX553" s="40"/>
      <c r="GY553" s="40"/>
      <c r="GZ553" s="40"/>
      <c r="HA553" s="40"/>
      <c r="HB553" s="40"/>
      <c r="HC553" s="40"/>
      <c r="HD553" s="40"/>
      <c r="HE553" s="40"/>
      <c r="HF553" s="40"/>
      <c r="HG553" s="40"/>
      <c r="HH553" s="40"/>
      <c r="HI553" s="40"/>
      <c r="HJ553" s="40"/>
      <c r="HK553" s="40"/>
      <c r="HL553" s="40"/>
      <c r="HM553" s="40"/>
      <c r="HN553" s="40"/>
      <c r="HO553" s="40"/>
      <c r="HP553" s="40"/>
      <c r="HQ553" s="40"/>
      <c r="HR553" s="40"/>
      <c r="HS553" s="40"/>
      <c r="HT553" s="40"/>
      <c r="HU553" s="40"/>
      <c r="HV553" s="40"/>
      <c r="HW553" s="40"/>
      <c r="HX553" s="40"/>
      <c r="HY553" s="40"/>
      <c r="HZ553" s="40"/>
      <c r="IA553" s="40"/>
      <c r="IB553" s="40"/>
      <c r="IC553" s="40"/>
      <c r="ID553" s="40"/>
      <c r="IE553" s="40"/>
      <c r="IF553" s="40"/>
      <c r="IG553" s="40"/>
      <c r="IH553" s="40"/>
      <c r="II553" s="40"/>
      <c r="IJ553" s="40"/>
      <c r="IK553" s="40"/>
      <c r="IL553" s="40"/>
      <c r="IM553" s="40"/>
      <c r="IN553" s="40"/>
      <c r="IO553" s="40"/>
      <c r="IP553" s="40"/>
      <c r="IQ553" s="40"/>
      <c r="IR553" s="40"/>
      <c r="IS553" s="40"/>
      <c r="IT553" s="40"/>
      <c r="IU553" s="40"/>
      <c r="IV553" s="40"/>
      <c r="IW553" s="40"/>
      <c r="IX553" s="40"/>
      <c r="IY553" s="40"/>
      <c r="IZ553" s="40"/>
      <c r="JA553" s="40"/>
      <c r="JB553" s="40"/>
      <c r="JC553" s="40"/>
      <c r="JD553" s="40"/>
      <c r="JE553" s="40"/>
      <c r="JF553" s="40"/>
      <c r="JG553" s="40"/>
      <c r="JH553" s="40"/>
      <c r="JI553" s="40"/>
      <c r="JJ553" s="40"/>
    </row>
    <row r="554" spans="1:270" ht="39.950000000000003" customHeight="1" outlineLevel="1" x14ac:dyDescent="0.3">
      <c r="A554" s="15" t="s">
        <v>716</v>
      </c>
      <c r="B554" s="14" t="s">
        <v>1150</v>
      </c>
      <c r="C554" s="9" t="s">
        <v>30</v>
      </c>
      <c r="D554" s="9" t="s">
        <v>1227</v>
      </c>
      <c r="E554" s="158">
        <f t="shared" ref="E554:E562" si="114">F554+G554</f>
        <v>125.20761</v>
      </c>
      <c r="F554" s="159">
        <f t="shared" ref="F554:F562" si="115">H554+L554+Q554+Y554+T554+AK554+AP554+AM554+AR554+AU554+AW554+BB554+BJ554</f>
        <v>5.2188800000000004</v>
      </c>
      <c r="G554" s="160">
        <f t="shared" ref="G554:G562" si="116">I554+J554+K554+M554+N554+R554+S554+V554+W554+AD554+O554+X554+Z554+AA554+AB554+AC554+AE554+AF554+P554+U554+AG554+AH554+AI554+AO554+AJ554+AL554+AQ554+AN554+AS554+AV554+AX554+AY554+AZ554+BA554+BC554+BD554+BE554+BF554+BG554+BH554+BI554+AT554+BK554+BL554+BN554+BO554+BP554+BQ554+BM554</f>
        <v>119.98873</v>
      </c>
      <c r="H554" s="166"/>
      <c r="I554" s="165"/>
      <c r="J554" s="160"/>
      <c r="K554" s="160"/>
      <c r="L554" s="166">
        <v>5.2188800000000004</v>
      </c>
      <c r="M554" s="165">
        <v>8.1796399999999991</v>
      </c>
      <c r="N554" s="165"/>
      <c r="O554" s="165"/>
      <c r="P554" s="160"/>
      <c r="Q554" s="166"/>
      <c r="R554" s="165"/>
      <c r="S554" s="165"/>
      <c r="T554" s="159"/>
      <c r="U554" s="160"/>
      <c r="V554" s="165"/>
      <c r="W554" s="165"/>
      <c r="X554" s="160"/>
      <c r="Y554" s="166"/>
      <c r="Z554" s="160"/>
      <c r="AA554" s="160">
        <v>111.80909</v>
      </c>
      <c r="AB554" s="165"/>
      <c r="AC554" s="165"/>
      <c r="AD554" s="165"/>
      <c r="AE554" s="165"/>
      <c r="AF554" s="160"/>
      <c r="AG554" s="160"/>
      <c r="AH554" s="160"/>
      <c r="AI554" s="160"/>
      <c r="AJ554" s="161"/>
      <c r="AK554" s="162"/>
      <c r="AL554" s="165"/>
      <c r="AM554" s="166"/>
      <c r="AN554" s="165"/>
      <c r="AO554" s="160"/>
      <c r="AP554" s="162"/>
      <c r="AQ554" s="161"/>
      <c r="AR554" s="162"/>
      <c r="AS554" s="161"/>
      <c r="AT554" s="165"/>
      <c r="AU554" s="166"/>
      <c r="AV554" s="165"/>
      <c r="AW554" s="166"/>
      <c r="AX554" s="165"/>
      <c r="AY554" s="165"/>
      <c r="AZ554" s="165"/>
      <c r="BA554" s="165"/>
      <c r="BB554" s="166"/>
      <c r="BC554" s="165"/>
      <c r="BD554" s="165"/>
      <c r="BE554" s="165"/>
      <c r="BF554" s="165"/>
      <c r="BG554" s="165"/>
      <c r="BH554" s="165"/>
      <c r="BI554" s="165"/>
      <c r="BJ554" s="166"/>
      <c r="BK554" s="165"/>
      <c r="BL554" s="165"/>
      <c r="BM554" s="163"/>
      <c r="BN554" s="165"/>
      <c r="BO554" s="165"/>
      <c r="BP554" s="165"/>
      <c r="BQ554" s="167"/>
    </row>
    <row r="555" spans="1:270" ht="39.950000000000003" customHeight="1" outlineLevel="1" x14ac:dyDescent="0.3">
      <c r="A555" s="15" t="s">
        <v>716</v>
      </c>
      <c r="B555" s="14" t="s">
        <v>724</v>
      </c>
      <c r="C555" s="9" t="s">
        <v>30</v>
      </c>
      <c r="D555" s="66" t="s">
        <v>725</v>
      </c>
      <c r="E555" s="158">
        <f t="shared" si="114"/>
        <v>50.76408</v>
      </c>
      <c r="F555" s="159">
        <f t="shared" si="115"/>
        <v>19.773209999999999</v>
      </c>
      <c r="G555" s="160">
        <f t="shared" si="116"/>
        <v>30.990870000000001</v>
      </c>
      <c r="H555" s="166"/>
      <c r="I555" s="165"/>
      <c r="J555" s="160"/>
      <c r="K555" s="160"/>
      <c r="L555" s="166">
        <v>19.773209999999999</v>
      </c>
      <c r="M555" s="165">
        <v>30.990870000000001</v>
      </c>
      <c r="N555" s="165"/>
      <c r="O555" s="165"/>
      <c r="P555" s="160"/>
      <c r="Q555" s="166"/>
      <c r="R555" s="165"/>
      <c r="S555" s="165"/>
      <c r="T555" s="159"/>
      <c r="U555" s="160"/>
      <c r="V555" s="165"/>
      <c r="W555" s="165"/>
      <c r="X555" s="160"/>
      <c r="Y555" s="166"/>
      <c r="Z555" s="160"/>
      <c r="AA555" s="160"/>
      <c r="AB555" s="165"/>
      <c r="AC555" s="165"/>
      <c r="AD555" s="165"/>
      <c r="AE555" s="165"/>
      <c r="AF555" s="160"/>
      <c r="AG555" s="160"/>
      <c r="AH555" s="160"/>
      <c r="AI555" s="160"/>
      <c r="AJ555" s="161"/>
      <c r="AK555" s="162"/>
      <c r="AL555" s="165"/>
      <c r="AM555" s="166"/>
      <c r="AN555" s="165"/>
      <c r="AO555" s="160"/>
      <c r="AP555" s="162"/>
      <c r="AQ555" s="161"/>
      <c r="AR555" s="162"/>
      <c r="AS555" s="161"/>
      <c r="AT555" s="165"/>
      <c r="AU555" s="166"/>
      <c r="AV555" s="165"/>
      <c r="AW555" s="166"/>
      <c r="AX555" s="165"/>
      <c r="AY555" s="165"/>
      <c r="AZ555" s="165"/>
      <c r="BA555" s="165"/>
      <c r="BB555" s="166"/>
      <c r="BC555" s="165"/>
      <c r="BD555" s="165"/>
      <c r="BE555" s="165"/>
      <c r="BF555" s="165"/>
      <c r="BG555" s="165"/>
      <c r="BH555" s="165"/>
      <c r="BI555" s="165"/>
      <c r="BJ555" s="166"/>
      <c r="BK555" s="165"/>
      <c r="BL555" s="165"/>
      <c r="BM555" s="163"/>
      <c r="BN555" s="165"/>
      <c r="BO555" s="165"/>
      <c r="BP555" s="165"/>
      <c r="BQ555" s="167"/>
    </row>
    <row r="556" spans="1:270" ht="39.950000000000003" customHeight="1" outlineLevel="1" x14ac:dyDescent="0.3">
      <c r="A556" s="15" t="s">
        <v>716</v>
      </c>
      <c r="B556" s="14" t="s">
        <v>1426</v>
      </c>
      <c r="C556" s="9" t="s">
        <v>30</v>
      </c>
      <c r="D556" s="66">
        <v>245602888577</v>
      </c>
      <c r="E556" s="158">
        <f t="shared" si="114"/>
        <v>441.08445</v>
      </c>
      <c r="F556" s="159">
        <f t="shared" si="115"/>
        <v>3.6731199999999999</v>
      </c>
      <c r="G556" s="160">
        <f t="shared" si="116"/>
        <v>437.41133000000002</v>
      </c>
      <c r="H556" s="166"/>
      <c r="I556" s="165"/>
      <c r="J556" s="160"/>
      <c r="K556" s="160"/>
      <c r="L556" s="166">
        <v>3.6731199999999999</v>
      </c>
      <c r="M556" s="165">
        <v>5.7569299999999997</v>
      </c>
      <c r="N556" s="165"/>
      <c r="O556" s="165"/>
      <c r="P556" s="160"/>
      <c r="Q556" s="166"/>
      <c r="R556" s="165"/>
      <c r="S556" s="165"/>
      <c r="T556" s="159"/>
      <c r="U556" s="160"/>
      <c r="V556" s="165"/>
      <c r="W556" s="165"/>
      <c r="X556" s="160"/>
      <c r="Y556" s="166"/>
      <c r="Z556" s="160"/>
      <c r="AA556" s="160"/>
      <c r="AB556" s="165"/>
      <c r="AC556" s="165"/>
      <c r="AD556" s="165"/>
      <c r="AE556" s="165"/>
      <c r="AF556" s="160"/>
      <c r="AG556" s="160"/>
      <c r="AH556" s="160"/>
      <c r="AI556" s="160"/>
      <c r="AJ556" s="161"/>
      <c r="AK556" s="162"/>
      <c r="AL556" s="165"/>
      <c r="AM556" s="166"/>
      <c r="AN556" s="165"/>
      <c r="AO556" s="160"/>
      <c r="AP556" s="162"/>
      <c r="AQ556" s="161"/>
      <c r="AR556" s="162"/>
      <c r="AS556" s="161"/>
      <c r="AT556" s="165"/>
      <c r="AU556" s="166"/>
      <c r="AV556" s="165"/>
      <c r="AW556" s="166"/>
      <c r="AX556" s="165"/>
      <c r="AY556" s="165"/>
      <c r="AZ556" s="165"/>
      <c r="BA556" s="165"/>
      <c r="BB556" s="166"/>
      <c r="BC556" s="165"/>
      <c r="BD556" s="165"/>
      <c r="BE556" s="165"/>
      <c r="BF556" s="165">
        <v>431.65440000000001</v>
      </c>
      <c r="BG556" s="165"/>
      <c r="BH556" s="165"/>
      <c r="BI556" s="165"/>
      <c r="BJ556" s="166"/>
      <c r="BK556" s="165"/>
      <c r="BL556" s="165"/>
      <c r="BM556" s="163"/>
      <c r="BN556" s="165"/>
      <c r="BO556" s="165"/>
      <c r="BP556" s="165"/>
      <c r="BQ556" s="167"/>
    </row>
    <row r="557" spans="1:270" ht="39.950000000000003" customHeight="1" outlineLevel="1" x14ac:dyDescent="0.3">
      <c r="A557" s="15" t="s">
        <v>716</v>
      </c>
      <c r="B557" s="14" t="s">
        <v>722</v>
      </c>
      <c r="C557" s="9" t="s">
        <v>723</v>
      </c>
      <c r="D557" s="66">
        <v>2427001578</v>
      </c>
      <c r="E557" s="158">
        <f t="shared" si="114"/>
        <v>1207.0086100000001</v>
      </c>
      <c r="F557" s="159">
        <f t="shared" si="115"/>
        <v>0</v>
      </c>
      <c r="G557" s="160">
        <f t="shared" si="116"/>
        <v>1207.0086100000001</v>
      </c>
      <c r="H557" s="166"/>
      <c r="I557" s="165"/>
      <c r="J557" s="160"/>
      <c r="K557" s="160"/>
      <c r="L557" s="166"/>
      <c r="M557" s="165"/>
      <c r="N557" s="165"/>
      <c r="O557" s="165"/>
      <c r="P557" s="160"/>
      <c r="Q557" s="166"/>
      <c r="R557" s="165"/>
      <c r="S557" s="165"/>
      <c r="T557" s="159"/>
      <c r="U557" s="160"/>
      <c r="V557" s="165"/>
      <c r="W557" s="165"/>
      <c r="X557" s="160"/>
      <c r="Y557" s="166"/>
      <c r="Z557" s="160"/>
      <c r="AA557" s="160"/>
      <c r="AB557" s="165"/>
      <c r="AC557" s="165"/>
      <c r="AD557" s="165"/>
      <c r="AE557" s="165"/>
      <c r="AF557" s="160"/>
      <c r="AG557" s="160"/>
      <c r="AH557" s="160"/>
      <c r="AI557" s="160"/>
      <c r="AJ557" s="161"/>
      <c r="AK557" s="162"/>
      <c r="AL557" s="165"/>
      <c r="AM557" s="166"/>
      <c r="AN557" s="165"/>
      <c r="AO557" s="160"/>
      <c r="AP557" s="162"/>
      <c r="AQ557" s="161"/>
      <c r="AR557" s="162"/>
      <c r="AS557" s="161"/>
      <c r="AT557" s="165"/>
      <c r="AU557" s="166"/>
      <c r="AV557" s="165"/>
      <c r="AW557" s="166"/>
      <c r="AX557" s="165"/>
      <c r="AY557" s="165"/>
      <c r="AZ557" s="165"/>
      <c r="BA557" s="165"/>
      <c r="BB557" s="166"/>
      <c r="BC557" s="165"/>
      <c r="BD557" s="165"/>
      <c r="BE557" s="165">
        <v>1207.0086100000001</v>
      </c>
      <c r="BF557" s="165"/>
      <c r="BG557" s="165"/>
      <c r="BH557" s="165"/>
      <c r="BI557" s="165"/>
      <c r="BJ557" s="166"/>
      <c r="BK557" s="165"/>
      <c r="BL557" s="165"/>
      <c r="BM557" s="163"/>
      <c r="BN557" s="165"/>
      <c r="BO557" s="165"/>
      <c r="BP557" s="165"/>
      <c r="BQ557" s="167"/>
    </row>
    <row r="558" spans="1:270" ht="39.950000000000003" customHeight="1" outlineLevel="1" x14ac:dyDescent="0.3">
      <c r="A558" s="15" t="s">
        <v>716</v>
      </c>
      <c r="B558" s="14" t="s">
        <v>719</v>
      </c>
      <c r="C558" s="9" t="s">
        <v>6</v>
      </c>
      <c r="D558" s="9" t="s">
        <v>1226</v>
      </c>
      <c r="E558" s="158">
        <f t="shared" si="114"/>
        <v>106939.29383000002</v>
      </c>
      <c r="F558" s="159">
        <f t="shared" si="115"/>
        <v>27471.986679999998</v>
      </c>
      <c r="G558" s="160">
        <f t="shared" si="116"/>
        <v>79467.307150000022</v>
      </c>
      <c r="H558" s="166">
        <v>623.17146000000002</v>
      </c>
      <c r="I558" s="165">
        <v>207.72380999999999</v>
      </c>
      <c r="J558" s="160"/>
      <c r="K558" s="160"/>
      <c r="L558" s="166">
        <f>10129.74323+2464.85199</f>
        <v>12594.595219999999</v>
      </c>
      <c r="M558" s="165">
        <f>15876.51455+3863.20339</f>
        <v>19739.717939999999</v>
      </c>
      <c r="N558" s="165"/>
      <c r="O558" s="165"/>
      <c r="P558" s="160">
        <v>1433.01304</v>
      </c>
      <c r="Q558" s="166"/>
      <c r="R558" s="165"/>
      <c r="S558" s="165"/>
      <c r="T558" s="159"/>
      <c r="U558" s="160"/>
      <c r="V558" s="165">
        <v>14000</v>
      </c>
      <c r="W558" s="165"/>
      <c r="X558" s="160"/>
      <c r="Y558" s="166">
        <v>7897.53078</v>
      </c>
      <c r="Z558" s="160">
        <v>2632.51026</v>
      </c>
      <c r="AA558" s="160">
        <v>31173.716280000001</v>
      </c>
      <c r="AB558" s="165"/>
      <c r="AC558" s="165"/>
      <c r="AD558" s="165"/>
      <c r="AE558" s="165"/>
      <c r="AF558" s="160"/>
      <c r="AG558" s="160"/>
      <c r="AH558" s="160"/>
      <c r="AI558" s="160"/>
      <c r="AJ558" s="161"/>
      <c r="AK558" s="162"/>
      <c r="AL558" s="165"/>
      <c r="AM558" s="166"/>
      <c r="AN558" s="165"/>
      <c r="AO558" s="160"/>
      <c r="AP558" s="162"/>
      <c r="AQ558" s="161"/>
      <c r="AR558" s="162"/>
      <c r="AS558" s="161"/>
      <c r="AT558" s="165"/>
      <c r="AU558" s="166"/>
      <c r="AV558" s="165"/>
      <c r="AW558" s="166">
        <f>23.93417+108.64339+3.70039+61.82391+167.3219+32.99405+5912.07954+46.19187</f>
        <v>6356.6892199999993</v>
      </c>
      <c r="AX558" s="165">
        <f>2.42448+11.00543+0.37484+6.26267+16.94949+3.34226+570.19114+4.6792+7.14917+32.45192+1.10531+18.46688+49.97927+9.85537+1765.94584+13.79757</f>
        <v>2513.9808400000002</v>
      </c>
      <c r="AY558" s="165"/>
      <c r="AZ558" s="165"/>
      <c r="BA558" s="165"/>
      <c r="BB558" s="166"/>
      <c r="BC558" s="165"/>
      <c r="BD558" s="165"/>
      <c r="BE558" s="165">
        <v>7442.0366400000003</v>
      </c>
      <c r="BF558" s="165"/>
      <c r="BG558" s="165">
        <v>324.60834</v>
      </c>
      <c r="BH558" s="165"/>
      <c r="BI558" s="165"/>
      <c r="BJ558" s="166"/>
      <c r="BK558" s="165"/>
      <c r="BL558" s="165"/>
      <c r="BM558" s="163"/>
      <c r="BN558" s="165"/>
      <c r="BO558" s="165"/>
      <c r="BP558" s="165"/>
      <c r="BQ558" s="167"/>
    </row>
    <row r="559" spans="1:270" ht="39.950000000000003" customHeight="1" outlineLevel="1" x14ac:dyDescent="0.3">
      <c r="A559" s="15" t="s">
        <v>716</v>
      </c>
      <c r="B559" s="14" t="s">
        <v>717</v>
      </c>
      <c r="C559" s="9" t="s">
        <v>6</v>
      </c>
      <c r="D559" s="66" t="s">
        <v>718</v>
      </c>
      <c r="E559" s="158">
        <f t="shared" si="114"/>
        <v>19487.593580000001</v>
      </c>
      <c r="F559" s="159">
        <f t="shared" si="115"/>
        <v>4706.8727799999997</v>
      </c>
      <c r="G559" s="160">
        <f t="shared" si="116"/>
        <v>14780.720799999999</v>
      </c>
      <c r="H559" s="166"/>
      <c r="I559" s="165"/>
      <c r="J559" s="160"/>
      <c r="K559" s="160"/>
      <c r="L559" s="166">
        <v>2817.5367700000002</v>
      </c>
      <c r="M559" s="165">
        <v>4415.9720900000002</v>
      </c>
      <c r="N559" s="165"/>
      <c r="O559" s="165"/>
      <c r="P559" s="160"/>
      <c r="Q559" s="166"/>
      <c r="R559" s="165"/>
      <c r="S559" s="165"/>
      <c r="T559" s="159"/>
      <c r="U559" s="160"/>
      <c r="V559" s="165"/>
      <c r="W559" s="165"/>
      <c r="X559" s="160"/>
      <c r="Y559" s="166">
        <v>1889.33601</v>
      </c>
      <c r="Z559" s="160">
        <v>629.77867000000003</v>
      </c>
      <c r="AA559" s="160">
        <v>9499.5485100000005</v>
      </c>
      <c r="AB559" s="165"/>
      <c r="AC559" s="165"/>
      <c r="AD559" s="165"/>
      <c r="AE559" s="165"/>
      <c r="AF559" s="160"/>
      <c r="AG559" s="160"/>
      <c r="AH559" s="160"/>
      <c r="AI559" s="160"/>
      <c r="AJ559" s="161"/>
      <c r="AK559" s="162"/>
      <c r="AL559" s="165"/>
      <c r="AM559" s="166"/>
      <c r="AN559" s="165"/>
      <c r="AO559" s="160"/>
      <c r="AP559" s="162"/>
      <c r="AQ559" s="161"/>
      <c r="AR559" s="162"/>
      <c r="AS559" s="161"/>
      <c r="AT559" s="165"/>
      <c r="AU559" s="166"/>
      <c r="AV559" s="165"/>
      <c r="AW559" s="166"/>
      <c r="AX559" s="165"/>
      <c r="AY559" s="165"/>
      <c r="AZ559" s="165"/>
      <c r="BA559" s="165"/>
      <c r="BB559" s="166"/>
      <c r="BC559" s="165"/>
      <c r="BD559" s="165"/>
      <c r="BE559" s="165"/>
      <c r="BF559" s="165"/>
      <c r="BG559" s="165"/>
      <c r="BH559" s="165"/>
      <c r="BI559" s="165"/>
      <c r="BJ559" s="166"/>
      <c r="BK559" s="165"/>
      <c r="BL559" s="165"/>
      <c r="BM559" s="163"/>
      <c r="BN559" s="165"/>
      <c r="BO559" s="165">
        <v>235.42152999999999</v>
      </c>
      <c r="BP559" s="165"/>
      <c r="BQ559" s="167"/>
    </row>
    <row r="560" spans="1:270" ht="39.950000000000003" customHeight="1" outlineLevel="1" x14ac:dyDescent="0.3">
      <c r="A560" s="15" t="s">
        <v>716</v>
      </c>
      <c r="B560" s="14" t="s">
        <v>720</v>
      </c>
      <c r="C560" s="9" t="s">
        <v>6</v>
      </c>
      <c r="D560" s="66" t="s">
        <v>721</v>
      </c>
      <c r="E560" s="158">
        <f t="shared" si="114"/>
        <v>263615.59443</v>
      </c>
      <c r="F560" s="159">
        <f t="shared" si="115"/>
        <v>87309.080860000002</v>
      </c>
      <c r="G560" s="160">
        <f t="shared" si="116"/>
        <v>176306.51356999998</v>
      </c>
      <c r="H560" s="166">
        <v>28962.373769999998</v>
      </c>
      <c r="I560" s="165">
        <v>9654.1245799999997</v>
      </c>
      <c r="J560" s="160"/>
      <c r="K560" s="160"/>
      <c r="L560" s="166">
        <f>17089.25053+4186.06323</f>
        <v>21275.313760000001</v>
      </c>
      <c r="M560" s="165">
        <f>26784.26574+6560.88631</f>
        <v>33345.152049999997</v>
      </c>
      <c r="N560" s="165"/>
      <c r="O560" s="165"/>
      <c r="P560" s="160">
        <v>2065.0803099999998</v>
      </c>
      <c r="Q560" s="166">
        <v>23430.513330000002</v>
      </c>
      <c r="R560" s="165">
        <v>7810.1711100000002</v>
      </c>
      <c r="S560" s="165"/>
      <c r="T560" s="159"/>
      <c r="U560" s="160"/>
      <c r="V560" s="165"/>
      <c r="W560" s="181">
        <v>5108.4799999999996</v>
      </c>
      <c r="X560" s="160"/>
      <c r="Y560" s="159">
        <v>13640.88</v>
      </c>
      <c r="Z560" s="160">
        <v>4546.96</v>
      </c>
      <c r="AA560" s="160">
        <v>59457.67482</v>
      </c>
      <c r="AB560" s="165"/>
      <c r="AC560" s="165"/>
      <c r="AD560" s="165"/>
      <c r="AE560" s="165"/>
      <c r="AF560" s="160"/>
      <c r="AG560" s="160"/>
      <c r="AH560" s="160"/>
      <c r="AI560" s="160">
        <v>53500.422870000002</v>
      </c>
      <c r="AJ560" s="161"/>
      <c r="AK560" s="162"/>
      <c r="AL560" s="165"/>
      <c r="AM560" s="166"/>
      <c r="AN560" s="165"/>
      <c r="AO560" s="160"/>
      <c r="AP560" s="162"/>
      <c r="AQ560" s="161"/>
      <c r="AR560" s="162"/>
      <c r="AS560" s="161"/>
      <c r="AT560" s="165"/>
      <c r="AU560" s="166"/>
      <c r="AV560" s="165"/>
      <c r="AW560" s="166"/>
      <c r="AX560" s="165"/>
      <c r="AY560" s="165"/>
      <c r="AZ560" s="165"/>
      <c r="BA560" s="165"/>
      <c r="BB560" s="166"/>
      <c r="BC560" s="165"/>
      <c r="BD560" s="165"/>
      <c r="BE560" s="165"/>
      <c r="BF560" s="165"/>
      <c r="BG560" s="165">
        <v>818.44782999999995</v>
      </c>
      <c r="BH560" s="165"/>
      <c r="BI560" s="165"/>
      <c r="BJ560" s="166"/>
      <c r="BK560" s="165"/>
      <c r="BL560" s="165"/>
      <c r="BM560" s="163"/>
      <c r="BN560" s="165"/>
      <c r="BO560" s="165"/>
      <c r="BP560" s="165"/>
      <c r="BQ560" s="167"/>
    </row>
    <row r="561" spans="1:270" ht="39.950000000000003" customHeight="1" outlineLevel="1" x14ac:dyDescent="0.3">
      <c r="A561" s="15" t="s">
        <v>716</v>
      </c>
      <c r="B561" s="14" t="s">
        <v>1336</v>
      </c>
      <c r="C561" s="9" t="s">
        <v>6</v>
      </c>
      <c r="D561" s="66">
        <v>2456200063</v>
      </c>
      <c r="E561" s="158">
        <f t="shared" si="114"/>
        <v>7967.1536599999999</v>
      </c>
      <c r="F561" s="159">
        <f t="shared" si="115"/>
        <v>0</v>
      </c>
      <c r="G561" s="160">
        <f t="shared" si="116"/>
        <v>7967.1536599999999</v>
      </c>
      <c r="H561" s="166"/>
      <c r="I561" s="165"/>
      <c r="J561" s="160"/>
      <c r="K561" s="160"/>
      <c r="L561" s="166"/>
      <c r="M561" s="165"/>
      <c r="N561" s="165"/>
      <c r="O561" s="165"/>
      <c r="P561" s="160"/>
      <c r="Q561" s="166"/>
      <c r="R561" s="165"/>
      <c r="S561" s="165"/>
      <c r="T561" s="159"/>
      <c r="U561" s="160"/>
      <c r="V561" s="165"/>
      <c r="W561" s="165"/>
      <c r="X561" s="160"/>
      <c r="Y561" s="166"/>
      <c r="Z561" s="160"/>
      <c r="AA561" s="160"/>
      <c r="AB561" s="165"/>
      <c r="AC561" s="165"/>
      <c r="AD561" s="165">
        <v>7967.1536599999999</v>
      </c>
      <c r="AE561" s="165"/>
      <c r="AF561" s="160"/>
      <c r="AG561" s="160"/>
      <c r="AH561" s="160"/>
      <c r="AI561" s="160"/>
      <c r="AJ561" s="161"/>
      <c r="AK561" s="162"/>
      <c r="AL561" s="165"/>
      <c r="AM561" s="166"/>
      <c r="AN561" s="165"/>
      <c r="AO561" s="160"/>
      <c r="AP561" s="162"/>
      <c r="AQ561" s="161"/>
      <c r="AR561" s="162"/>
      <c r="AS561" s="161"/>
      <c r="AT561" s="165"/>
      <c r="AU561" s="166"/>
      <c r="AV561" s="165"/>
      <c r="AW561" s="166"/>
      <c r="AX561" s="165"/>
      <c r="AY561" s="165"/>
      <c r="AZ561" s="165"/>
      <c r="BA561" s="165"/>
      <c r="BB561" s="166"/>
      <c r="BC561" s="165"/>
      <c r="BD561" s="165"/>
      <c r="BE561" s="165"/>
      <c r="BF561" s="165"/>
      <c r="BG561" s="165"/>
      <c r="BH561" s="165"/>
      <c r="BI561" s="165"/>
      <c r="BJ561" s="166"/>
      <c r="BK561" s="165"/>
      <c r="BL561" s="165"/>
      <c r="BM561" s="163"/>
      <c r="BN561" s="165"/>
      <c r="BO561" s="165"/>
      <c r="BP561" s="165"/>
      <c r="BQ561" s="167"/>
    </row>
    <row r="562" spans="1:270" ht="39.950000000000003" customHeight="1" outlineLevel="1" x14ac:dyDescent="0.3">
      <c r="A562" s="15" t="s">
        <v>716</v>
      </c>
      <c r="B562" s="14" t="s">
        <v>1431</v>
      </c>
      <c r="C562" s="9" t="s">
        <v>6</v>
      </c>
      <c r="D562" s="66">
        <v>2466208826</v>
      </c>
      <c r="E562" s="158">
        <f t="shared" si="114"/>
        <v>18090.851999999999</v>
      </c>
      <c r="F562" s="159">
        <f t="shared" si="115"/>
        <v>0</v>
      </c>
      <c r="G562" s="160">
        <f t="shared" si="116"/>
        <v>18090.851999999999</v>
      </c>
      <c r="H562" s="166"/>
      <c r="I562" s="165"/>
      <c r="J562" s="160"/>
      <c r="K562" s="160"/>
      <c r="L562" s="166"/>
      <c r="M562" s="165"/>
      <c r="N562" s="165"/>
      <c r="O562" s="165"/>
      <c r="P562" s="160"/>
      <c r="Q562" s="166"/>
      <c r="R562" s="165"/>
      <c r="S562" s="165"/>
      <c r="T562" s="159"/>
      <c r="U562" s="160"/>
      <c r="V562" s="165"/>
      <c r="W562" s="165"/>
      <c r="X562" s="160"/>
      <c r="Y562" s="166"/>
      <c r="Z562" s="160"/>
      <c r="AA562" s="160"/>
      <c r="AB562" s="165"/>
      <c r="AC562" s="165">
        <v>18090.851999999999</v>
      </c>
      <c r="AD562" s="165"/>
      <c r="AE562" s="165"/>
      <c r="AF562" s="160"/>
      <c r="AG562" s="160"/>
      <c r="AH562" s="160"/>
      <c r="AI562" s="160"/>
      <c r="AJ562" s="161"/>
      <c r="AK562" s="162"/>
      <c r="AL562" s="165"/>
      <c r="AM562" s="166"/>
      <c r="AN562" s="165"/>
      <c r="AO562" s="160"/>
      <c r="AP562" s="162"/>
      <c r="AQ562" s="161"/>
      <c r="AR562" s="162"/>
      <c r="AS562" s="161"/>
      <c r="AT562" s="165"/>
      <c r="AU562" s="166"/>
      <c r="AV562" s="165"/>
      <c r="AW562" s="166"/>
      <c r="AX562" s="165"/>
      <c r="AY562" s="165"/>
      <c r="AZ562" s="165"/>
      <c r="BA562" s="165"/>
      <c r="BB562" s="166"/>
      <c r="BC562" s="165"/>
      <c r="BD562" s="165"/>
      <c r="BE562" s="165"/>
      <c r="BF562" s="165"/>
      <c r="BG562" s="165"/>
      <c r="BH562" s="165"/>
      <c r="BI562" s="165"/>
      <c r="BJ562" s="166"/>
      <c r="BK562" s="165"/>
      <c r="BL562" s="165"/>
      <c r="BM562" s="163"/>
      <c r="BN562" s="165"/>
      <c r="BO562" s="165"/>
      <c r="BP562" s="165"/>
      <c r="BQ562" s="167"/>
    </row>
    <row r="563" spans="1:270" s="34" customFormat="1" ht="39.950000000000003" customHeight="1" x14ac:dyDescent="0.3">
      <c r="A563" s="118" t="s">
        <v>726</v>
      </c>
      <c r="B563" s="120"/>
      <c r="C563" s="116" t="s">
        <v>80</v>
      </c>
      <c r="D563" s="117"/>
      <c r="E563" s="171">
        <f t="shared" ref="E563:AI563" si="117">SUBTOTAL(9,E554:E562)</f>
        <v>417924.55225000007</v>
      </c>
      <c r="F563" s="171">
        <f t="shared" si="117"/>
        <v>119516.60553</v>
      </c>
      <c r="G563" s="171">
        <f t="shared" si="117"/>
        <v>298407.94672000001</v>
      </c>
      <c r="H563" s="171">
        <f t="shared" si="117"/>
        <v>29585.54523</v>
      </c>
      <c r="I563" s="171">
        <f t="shared" si="117"/>
        <v>9861.8483899999992</v>
      </c>
      <c r="J563" s="171">
        <f t="shared" si="117"/>
        <v>0</v>
      </c>
      <c r="K563" s="171">
        <f t="shared" si="117"/>
        <v>0</v>
      </c>
      <c r="L563" s="171">
        <f t="shared" si="117"/>
        <v>36716.110959999998</v>
      </c>
      <c r="M563" s="171">
        <f t="shared" si="117"/>
        <v>57545.769519999994</v>
      </c>
      <c r="N563" s="171">
        <f t="shared" si="117"/>
        <v>0</v>
      </c>
      <c r="O563" s="171">
        <f>SUBTOTAL(9,O554:O562)</f>
        <v>0</v>
      </c>
      <c r="P563" s="171">
        <f>SUBTOTAL(9,P554:P562)</f>
        <v>3498.0933500000001</v>
      </c>
      <c r="Q563" s="171">
        <f t="shared" si="117"/>
        <v>23430.513330000002</v>
      </c>
      <c r="R563" s="171">
        <f t="shared" si="117"/>
        <v>7810.1711100000002</v>
      </c>
      <c r="S563" s="171">
        <f t="shared" si="117"/>
        <v>0</v>
      </c>
      <c r="T563" s="171">
        <f>SUBTOTAL(9,T554:T562)</f>
        <v>0</v>
      </c>
      <c r="U563" s="171">
        <f>SUBTOTAL(9,U554:U562)</f>
        <v>0</v>
      </c>
      <c r="V563" s="171">
        <f t="shared" si="117"/>
        <v>14000</v>
      </c>
      <c r="W563" s="171">
        <f t="shared" si="117"/>
        <v>5108.4799999999996</v>
      </c>
      <c r="X563" s="171">
        <f>SUBTOTAL(9,X554:X562)</f>
        <v>0</v>
      </c>
      <c r="Y563" s="171">
        <f t="shared" si="117"/>
        <v>23427.746789999997</v>
      </c>
      <c r="Z563" s="171">
        <f t="shared" si="117"/>
        <v>7809.2489299999997</v>
      </c>
      <c r="AA563" s="171">
        <f t="shared" si="117"/>
        <v>100242.7487</v>
      </c>
      <c r="AB563" s="171">
        <f t="shared" si="117"/>
        <v>0</v>
      </c>
      <c r="AC563" s="171">
        <f t="shared" si="117"/>
        <v>18090.851999999999</v>
      </c>
      <c r="AD563" s="171">
        <f>SUBTOTAL(9,AD554:AD562)</f>
        <v>7967.1536599999999</v>
      </c>
      <c r="AE563" s="171">
        <f t="shared" si="117"/>
        <v>0</v>
      </c>
      <c r="AF563" s="171">
        <f t="shared" si="117"/>
        <v>0</v>
      </c>
      <c r="AG563" s="171">
        <f t="shared" si="117"/>
        <v>0</v>
      </c>
      <c r="AH563" s="171">
        <f t="shared" si="117"/>
        <v>0</v>
      </c>
      <c r="AI563" s="171">
        <f t="shared" si="117"/>
        <v>53500.422870000002</v>
      </c>
      <c r="AJ563" s="171">
        <f t="shared" ref="AJ563:BQ563" si="118">SUBTOTAL(9,AJ554:AJ562)</f>
        <v>0</v>
      </c>
      <c r="AK563" s="171">
        <f t="shared" si="118"/>
        <v>0</v>
      </c>
      <c r="AL563" s="171">
        <f t="shared" si="118"/>
        <v>0</v>
      </c>
      <c r="AM563" s="171">
        <f>SUBTOTAL(9,AM554:AM562)</f>
        <v>0</v>
      </c>
      <c r="AN563" s="171">
        <f>SUBTOTAL(9,AN554:AN562)</f>
        <v>0</v>
      </c>
      <c r="AO563" s="171">
        <f>SUBTOTAL(9,AO554:AO562)</f>
        <v>0</v>
      </c>
      <c r="AP563" s="171">
        <f t="shared" si="118"/>
        <v>0</v>
      </c>
      <c r="AQ563" s="171">
        <f t="shared" si="118"/>
        <v>0</v>
      </c>
      <c r="AR563" s="171">
        <f t="shared" si="118"/>
        <v>0</v>
      </c>
      <c r="AS563" s="171">
        <f t="shared" si="118"/>
        <v>0</v>
      </c>
      <c r="AT563" s="171">
        <f>SUBTOTAL(9,AT554:AT562)</f>
        <v>0</v>
      </c>
      <c r="AU563" s="171">
        <f t="shared" si="118"/>
        <v>0</v>
      </c>
      <c r="AV563" s="171">
        <f t="shared" si="118"/>
        <v>0</v>
      </c>
      <c r="AW563" s="171">
        <f t="shared" si="118"/>
        <v>6356.6892199999993</v>
      </c>
      <c r="AX563" s="171">
        <f t="shared" si="118"/>
        <v>2513.9808400000002</v>
      </c>
      <c r="AY563" s="171">
        <f t="shared" si="118"/>
        <v>0</v>
      </c>
      <c r="AZ563" s="171">
        <f t="shared" si="118"/>
        <v>0</v>
      </c>
      <c r="BA563" s="171">
        <f t="shared" si="118"/>
        <v>0</v>
      </c>
      <c r="BB563" s="171">
        <f t="shared" si="118"/>
        <v>0</v>
      </c>
      <c r="BC563" s="171">
        <f t="shared" si="118"/>
        <v>0</v>
      </c>
      <c r="BD563" s="171">
        <f t="shared" si="118"/>
        <v>0</v>
      </c>
      <c r="BE563" s="171">
        <f t="shared" si="118"/>
        <v>8649.045250000001</v>
      </c>
      <c r="BF563" s="171">
        <f t="shared" si="118"/>
        <v>431.65440000000001</v>
      </c>
      <c r="BG563" s="171">
        <f t="shared" si="118"/>
        <v>1143.0561699999998</v>
      </c>
      <c r="BH563" s="171">
        <f t="shared" si="118"/>
        <v>0</v>
      </c>
      <c r="BI563" s="171">
        <f t="shared" si="118"/>
        <v>0</v>
      </c>
      <c r="BJ563" s="171">
        <f t="shared" si="118"/>
        <v>0</v>
      </c>
      <c r="BK563" s="171">
        <f t="shared" si="118"/>
        <v>0</v>
      </c>
      <c r="BL563" s="171">
        <f t="shared" si="118"/>
        <v>0</v>
      </c>
      <c r="BM563" s="172">
        <f>SUBTOTAL(9,BM554:BM562)</f>
        <v>0</v>
      </c>
      <c r="BN563" s="171">
        <f t="shared" si="118"/>
        <v>0</v>
      </c>
      <c r="BO563" s="171">
        <f t="shared" si="118"/>
        <v>235.42152999999999</v>
      </c>
      <c r="BP563" s="171">
        <f t="shared" si="118"/>
        <v>0</v>
      </c>
      <c r="BQ563" s="172">
        <f t="shared" si="118"/>
        <v>0</v>
      </c>
      <c r="BR563" s="40"/>
      <c r="BS563" s="40"/>
      <c r="BT563" s="40"/>
      <c r="BU563" s="40"/>
      <c r="BV563" s="40"/>
      <c r="BW563" s="40"/>
      <c r="BX563" s="40"/>
      <c r="BY563" s="40"/>
      <c r="BZ563" s="40"/>
      <c r="CA563" s="40"/>
      <c r="CB563" s="40"/>
      <c r="CC563" s="40"/>
      <c r="CD563" s="40"/>
      <c r="CE563" s="40"/>
      <c r="CF563" s="40"/>
      <c r="CG563" s="40"/>
      <c r="CH563" s="40"/>
      <c r="CI563" s="40"/>
      <c r="CJ563" s="40"/>
      <c r="CK563" s="40"/>
      <c r="CL563" s="40"/>
      <c r="CM563" s="40"/>
      <c r="CN563" s="40"/>
      <c r="CO563" s="40"/>
      <c r="CP563" s="40"/>
      <c r="CQ563" s="40"/>
      <c r="CR563" s="40"/>
      <c r="CS563" s="40"/>
      <c r="CT563" s="40"/>
      <c r="CU563" s="40"/>
      <c r="CV563" s="40"/>
      <c r="CW563" s="40"/>
      <c r="CX563" s="40"/>
      <c r="CY563" s="40"/>
      <c r="CZ563" s="40"/>
      <c r="DA563" s="40"/>
      <c r="DB563" s="40"/>
      <c r="DC563" s="40"/>
      <c r="DD563" s="40"/>
      <c r="DE563" s="40"/>
      <c r="DF563" s="40"/>
      <c r="DG563" s="40"/>
      <c r="DH563" s="40"/>
      <c r="DI563" s="40"/>
      <c r="DJ563" s="40"/>
      <c r="DK563" s="40"/>
      <c r="DL563" s="40"/>
      <c r="DM563" s="40"/>
      <c r="DN563" s="40"/>
      <c r="DO563" s="40"/>
      <c r="DP563" s="40"/>
      <c r="DQ563" s="40"/>
      <c r="DR563" s="40"/>
      <c r="DS563" s="40"/>
      <c r="DT563" s="40"/>
      <c r="DU563" s="40"/>
      <c r="DV563" s="40"/>
      <c r="DW563" s="40"/>
      <c r="DX563" s="40"/>
      <c r="DY563" s="40"/>
      <c r="DZ563" s="40"/>
      <c r="EA563" s="40"/>
      <c r="EB563" s="40"/>
      <c r="EC563" s="40"/>
      <c r="ED563" s="40"/>
      <c r="EE563" s="40"/>
      <c r="EF563" s="40"/>
      <c r="EG563" s="40"/>
      <c r="EH563" s="40"/>
      <c r="EI563" s="40"/>
      <c r="EJ563" s="40"/>
      <c r="EK563" s="40"/>
      <c r="EL563" s="40"/>
      <c r="EM563" s="40"/>
      <c r="EN563" s="40"/>
      <c r="EO563" s="40"/>
      <c r="EP563" s="40"/>
      <c r="EQ563" s="40"/>
      <c r="ER563" s="40"/>
      <c r="ES563" s="40"/>
      <c r="ET563" s="40"/>
      <c r="EU563" s="40"/>
      <c r="EV563" s="40"/>
      <c r="EW563" s="40"/>
      <c r="EX563" s="40"/>
      <c r="EY563" s="40"/>
      <c r="EZ563" s="40"/>
      <c r="FA563" s="40"/>
      <c r="FB563" s="40"/>
      <c r="FC563" s="40"/>
      <c r="FD563" s="40"/>
      <c r="FE563" s="40"/>
      <c r="FF563" s="40"/>
      <c r="FG563" s="40"/>
      <c r="FH563" s="40"/>
      <c r="FI563" s="40"/>
      <c r="FJ563" s="40"/>
      <c r="FK563" s="40"/>
      <c r="FL563" s="40"/>
      <c r="FM563" s="40"/>
      <c r="FN563" s="40"/>
      <c r="FO563" s="40"/>
      <c r="FP563" s="40"/>
      <c r="FQ563" s="40"/>
      <c r="FR563" s="40"/>
      <c r="FS563" s="40"/>
      <c r="FT563" s="40"/>
      <c r="FU563" s="40"/>
      <c r="FV563" s="40"/>
      <c r="FW563" s="40"/>
      <c r="FX563" s="40"/>
      <c r="FY563" s="40"/>
      <c r="FZ563" s="40"/>
      <c r="GA563" s="40"/>
      <c r="GB563" s="40"/>
      <c r="GC563" s="40"/>
      <c r="GD563" s="40"/>
      <c r="GE563" s="40"/>
      <c r="GF563" s="40"/>
      <c r="GG563" s="40"/>
      <c r="GH563" s="40"/>
      <c r="GI563" s="40"/>
      <c r="GJ563" s="40"/>
      <c r="GK563" s="40"/>
      <c r="GL563" s="40"/>
      <c r="GM563" s="40"/>
      <c r="GN563" s="40"/>
      <c r="GO563" s="40"/>
      <c r="GP563" s="40"/>
      <c r="GQ563" s="40"/>
      <c r="GR563" s="40"/>
      <c r="GS563" s="40"/>
      <c r="GT563" s="40"/>
      <c r="GU563" s="40"/>
      <c r="GV563" s="40"/>
      <c r="GW563" s="40"/>
      <c r="GX563" s="40"/>
      <c r="GY563" s="40"/>
      <c r="GZ563" s="40"/>
      <c r="HA563" s="40"/>
      <c r="HB563" s="40"/>
      <c r="HC563" s="40"/>
      <c r="HD563" s="40"/>
      <c r="HE563" s="40"/>
      <c r="HF563" s="40"/>
      <c r="HG563" s="40"/>
      <c r="HH563" s="40"/>
      <c r="HI563" s="40"/>
      <c r="HJ563" s="40"/>
      <c r="HK563" s="40"/>
      <c r="HL563" s="40"/>
      <c r="HM563" s="40"/>
      <c r="HN563" s="40"/>
      <c r="HO563" s="40"/>
      <c r="HP563" s="40"/>
      <c r="HQ563" s="40"/>
      <c r="HR563" s="40"/>
      <c r="HS563" s="40"/>
      <c r="HT563" s="40"/>
      <c r="HU563" s="40"/>
      <c r="HV563" s="40"/>
      <c r="HW563" s="40"/>
      <c r="HX563" s="40"/>
      <c r="HY563" s="40"/>
      <c r="HZ563" s="40"/>
      <c r="IA563" s="40"/>
      <c r="IB563" s="40"/>
      <c r="IC563" s="40"/>
      <c r="ID563" s="40"/>
      <c r="IE563" s="40"/>
      <c r="IF563" s="40"/>
      <c r="IG563" s="40"/>
      <c r="IH563" s="40"/>
      <c r="II563" s="40"/>
      <c r="IJ563" s="40"/>
      <c r="IK563" s="40"/>
      <c r="IL563" s="40"/>
      <c r="IM563" s="40"/>
      <c r="IN563" s="40"/>
      <c r="IO563" s="40"/>
      <c r="IP563" s="40"/>
      <c r="IQ563" s="40"/>
      <c r="IR563" s="40"/>
      <c r="IS563" s="40"/>
      <c r="IT563" s="40"/>
      <c r="IU563" s="40"/>
      <c r="IV563" s="40"/>
      <c r="IW563" s="40"/>
      <c r="IX563" s="40"/>
      <c r="IY563" s="40"/>
      <c r="IZ563" s="40"/>
      <c r="JA563" s="40"/>
      <c r="JB563" s="40"/>
      <c r="JC563" s="40"/>
      <c r="JD563" s="40"/>
      <c r="JE563" s="40"/>
      <c r="JF563" s="40"/>
      <c r="JG563" s="40"/>
      <c r="JH563" s="40"/>
      <c r="JI563" s="40"/>
      <c r="JJ563" s="40"/>
    </row>
    <row r="564" spans="1:270" ht="39.950000000000003" customHeight="1" outlineLevel="1" x14ac:dyDescent="0.3">
      <c r="A564" s="15" t="s">
        <v>727</v>
      </c>
      <c r="B564" s="10" t="s">
        <v>736</v>
      </c>
      <c r="C564" s="9" t="s">
        <v>30</v>
      </c>
      <c r="D564" s="66" t="s">
        <v>737</v>
      </c>
      <c r="E564" s="158">
        <f t="shared" ref="E564:E573" si="119">F564+G564</f>
        <v>56.329969999999996</v>
      </c>
      <c r="F564" s="159">
        <f t="shared" ref="F564:F573" si="120">H564+L564+Q564+Y564+T564+AK564+AP564+AM564+AR564+AU564+AW564+BB564+BJ564</f>
        <v>21.941189999999999</v>
      </c>
      <c r="G564" s="160">
        <f t="shared" ref="G564:G573" si="121">I564+J564+K564+M564+N564+R564+S564+V564+W564+AD564+O564+X564+Z564+AA564+AB564+AC564+AE564+AF564+P564+U564+AG564+AH564+AI564+AO564+AJ564+AL564+AQ564+AN564+AS564+AV564+AX564+AY564+AZ564+BA564+BC564+BD564+BE564+BF564+BG564+BH564+BI564+AT564+BK564+BL564+BN564+BO564+BP564+BQ564+BM564</f>
        <v>34.388779999999997</v>
      </c>
      <c r="H564" s="166"/>
      <c r="I564" s="165"/>
      <c r="J564" s="160"/>
      <c r="K564" s="160"/>
      <c r="L564" s="166">
        <v>21.941189999999999</v>
      </c>
      <c r="M564" s="165">
        <v>34.388779999999997</v>
      </c>
      <c r="N564" s="165"/>
      <c r="O564" s="165"/>
      <c r="P564" s="160"/>
      <c r="Q564" s="166"/>
      <c r="R564" s="165"/>
      <c r="S564" s="165"/>
      <c r="T564" s="159"/>
      <c r="U564" s="160"/>
      <c r="V564" s="165"/>
      <c r="W564" s="165"/>
      <c r="X564" s="160"/>
      <c r="Y564" s="166"/>
      <c r="Z564" s="160"/>
      <c r="AA564" s="160"/>
      <c r="AB564" s="165"/>
      <c r="AC564" s="165"/>
      <c r="AD564" s="165"/>
      <c r="AE564" s="165"/>
      <c r="AF564" s="160"/>
      <c r="AG564" s="160"/>
      <c r="AH564" s="160"/>
      <c r="AI564" s="160"/>
      <c r="AJ564" s="161"/>
      <c r="AK564" s="162"/>
      <c r="AL564" s="165"/>
      <c r="AM564" s="166"/>
      <c r="AN564" s="165"/>
      <c r="AO564" s="160"/>
      <c r="AP564" s="162"/>
      <c r="AQ564" s="161"/>
      <c r="AR564" s="162"/>
      <c r="AS564" s="161"/>
      <c r="AT564" s="165"/>
      <c r="AU564" s="166"/>
      <c r="AV564" s="165"/>
      <c r="AW564" s="166"/>
      <c r="AX564" s="165"/>
      <c r="AY564" s="165"/>
      <c r="AZ564" s="165"/>
      <c r="BA564" s="165"/>
      <c r="BB564" s="166"/>
      <c r="BC564" s="165"/>
      <c r="BD564" s="165"/>
      <c r="BE564" s="165"/>
      <c r="BF564" s="165"/>
      <c r="BG564" s="165"/>
      <c r="BH564" s="165"/>
      <c r="BI564" s="165"/>
      <c r="BJ564" s="166"/>
      <c r="BK564" s="165"/>
      <c r="BL564" s="165"/>
      <c r="BM564" s="163"/>
      <c r="BN564" s="165"/>
      <c r="BO564" s="165"/>
      <c r="BP564" s="165"/>
      <c r="BQ564" s="167"/>
    </row>
    <row r="565" spans="1:270" ht="39.950000000000003" customHeight="1" outlineLevel="1" x14ac:dyDescent="0.3">
      <c r="A565" s="15" t="s">
        <v>727</v>
      </c>
      <c r="B565" s="10" t="s">
        <v>1522</v>
      </c>
      <c r="C565" s="9" t="s">
        <v>30</v>
      </c>
      <c r="D565" s="66">
        <v>241000020401</v>
      </c>
      <c r="E565" s="158">
        <f t="shared" si="119"/>
        <v>121.45717999999999</v>
      </c>
      <c r="F565" s="159">
        <f t="shared" si="120"/>
        <v>0</v>
      </c>
      <c r="G565" s="160">
        <f t="shared" si="121"/>
        <v>121.45717999999999</v>
      </c>
      <c r="H565" s="166"/>
      <c r="I565" s="165"/>
      <c r="J565" s="160"/>
      <c r="K565" s="160"/>
      <c r="L565" s="166"/>
      <c r="M565" s="165"/>
      <c r="N565" s="165"/>
      <c r="O565" s="165"/>
      <c r="P565" s="160"/>
      <c r="Q565" s="166"/>
      <c r="R565" s="165"/>
      <c r="S565" s="165"/>
      <c r="T565" s="159"/>
      <c r="U565" s="160"/>
      <c r="V565" s="165"/>
      <c r="W565" s="165"/>
      <c r="X565" s="160"/>
      <c r="Y565" s="166"/>
      <c r="Z565" s="160"/>
      <c r="AA565" s="160">
        <v>121.45717999999999</v>
      </c>
      <c r="AB565" s="165"/>
      <c r="AC565" s="165"/>
      <c r="AD565" s="165"/>
      <c r="AE565" s="165"/>
      <c r="AF565" s="160"/>
      <c r="AG565" s="160"/>
      <c r="AH565" s="160"/>
      <c r="AI565" s="160"/>
      <c r="AJ565" s="161"/>
      <c r="AK565" s="162"/>
      <c r="AL565" s="165"/>
      <c r="AM565" s="166"/>
      <c r="AN565" s="165"/>
      <c r="AO565" s="160"/>
      <c r="AP565" s="162"/>
      <c r="AQ565" s="161"/>
      <c r="AR565" s="162"/>
      <c r="AS565" s="161"/>
      <c r="AT565" s="165"/>
      <c r="AU565" s="166"/>
      <c r="AV565" s="165"/>
      <c r="AW565" s="166"/>
      <c r="AX565" s="165"/>
      <c r="AY565" s="165"/>
      <c r="AZ565" s="165"/>
      <c r="BA565" s="165"/>
      <c r="BB565" s="166"/>
      <c r="BC565" s="165"/>
      <c r="BD565" s="165"/>
      <c r="BE565" s="165"/>
      <c r="BF565" s="165"/>
      <c r="BG565" s="165"/>
      <c r="BH565" s="165"/>
      <c r="BI565" s="165"/>
      <c r="BJ565" s="166"/>
      <c r="BK565" s="165"/>
      <c r="BL565" s="165"/>
      <c r="BM565" s="163"/>
      <c r="BN565" s="165"/>
      <c r="BO565" s="165"/>
      <c r="BP565" s="165"/>
      <c r="BQ565" s="167"/>
    </row>
    <row r="566" spans="1:270" ht="39.950000000000003" customHeight="1" outlineLevel="1" x14ac:dyDescent="0.3">
      <c r="A566" s="15" t="s">
        <v>727</v>
      </c>
      <c r="B566" s="14" t="s">
        <v>1366</v>
      </c>
      <c r="C566" s="9" t="s">
        <v>30</v>
      </c>
      <c r="D566" s="9" t="s">
        <v>1315</v>
      </c>
      <c r="E566" s="158">
        <f t="shared" si="119"/>
        <v>37.204320000000003</v>
      </c>
      <c r="F566" s="159">
        <f t="shared" si="120"/>
        <v>14.49152</v>
      </c>
      <c r="G566" s="160">
        <f t="shared" si="121"/>
        <v>22.712800000000001</v>
      </c>
      <c r="H566" s="166"/>
      <c r="I566" s="165"/>
      <c r="J566" s="160"/>
      <c r="K566" s="160"/>
      <c r="L566" s="166">
        <v>14.49152</v>
      </c>
      <c r="M566" s="165">
        <v>22.712800000000001</v>
      </c>
      <c r="N566" s="165"/>
      <c r="O566" s="165"/>
      <c r="P566" s="160"/>
      <c r="Q566" s="166"/>
      <c r="R566" s="165"/>
      <c r="S566" s="165"/>
      <c r="T566" s="159"/>
      <c r="U566" s="160"/>
      <c r="V566" s="165"/>
      <c r="W566" s="165"/>
      <c r="X566" s="160"/>
      <c r="Y566" s="166"/>
      <c r="Z566" s="160"/>
      <c r="AA566" s="160"/>
      <c r="AB566" s="165"/>
      <c r="AC566" s="165"/>
      <c r="AD566" s="165"/>
      <c r="AE566" s="165"/>
      <c r="AF566" s="160"/>
      <c r="AG566" s="160"/>
      <c r="AH566" s="160"/>
      <c r="AI566" s="160"/>
      <c r="AJ566" s="161"/>
      <c r="AK566" s="162"/>
      <c r="AL566" s="165"/>
      <c r="AM566" s="166"/>
      <c r="AN566" s="165"/>
      <c r="AO566" s="160"/>
      <c r="AP566" s="162"/>
      <c r="AQ566" s="161"/>
      <c r="AR566" s="162"/>
      <c r="AS566" s="161"/>
      <c r="AT566" s="165"/>
      <c r="AU566" s="166"/>
      <c r="AV566" s="165"/>
      <c r="AW566" s="166"/>
      <c r="AX566" s="165"/>
      <c r="AY566" s="165"/>
      <c r="AZ566" s="165"/>
      <c r="BA566" s="165"/>
      <c r="BB566" s="166"/>
      <c r="BC566" s="165"/>
      <c r="BD566" s="165"/>
      <c r="BE566" s="165"/>
      <c r="BF566" s="165"/>
      <c r="BG566" s="165"/>
      <c r="BH566" s="165"/>
      <c r="BI566" s="165"/>
      <c r="BJ566" s="166"/>
      <c r="BK566" s="165"/>
      <c r="BL566" s="165"/>
      <c r="BM566" s="163"/>
      <c r="BN566" s="165"/>
      <c r="BO566" s="165"/>
      <c r="BP566" s="165"/>
      <c r="BQ566" s="167"/>
    </row>
    <row r="567" spans="1:270" ht="39.950000000000003" customHeight="1" outlineLevel="1" x14ac:dyDescent="0.3">
      <c r="A567" s="15" t="s">
        <v>727</v>
      </c>
      <c r="B567" s="14" t="s">
        <v>1148</v>
      </c>
      <c r="C567" s="9" t="s">
        <v>30</v>
      </c>
      <c r="D567" s="9" t="s">
        <v>1228</v>
      </c>
      <c r="E567" s="158">
        <f t="shared" si="119"/>
        <v>50.417009999999998</v>
      </c>
      <c r="F567" s="159">
        <f t="shared" si="120"/>
        <v>7.9634799999999997</v>
      </c>
      <c r="G567" s="160">
        <f t="shared" si="121"/>
        <v>42.453530000000001</v>
      </c>
      <c r="H567" s="166"/>
      <c r="I567" s="165"/>
      <c r="J567" s="160"/>
      <c r="K567" s="160"/>
      <c r="L567" s="166"/>
      <c r="M567" s="165"/>
      <c r="N567" s="165"/>
      <c r="O567" s="165"/>
      <c r="P567" s="160"/>
      <c r="Q567" s="166"/>
      <c r="R567" s="165"/>
      <c r="S567" s="165"/>
      <c r="T567" s="159"/>
      <c r="U567" s="160"/>
      <c r="V567" s="165"/>
      <c r="W567" s="165"/>
      <c r="X567" s="160"/>
      <c r="Y567" s="166">
        <v>7.9634799999999997</v>
      </c>
      <c r="Z567" s="160">
        <v>2.65449</v>
      </c>
      <c r="AA567" s="160">
        <v>39.799039999999998</v>
      </c>
      <c r="AB567" s="165"/>
      <c r="AC567" s="165"/>
      <c r="AD567" s="165"/>
      <c r="AE567" s="165"/>
      <c r="AF567" s="160"/>
      <c r="AG567" s="160"/>
      <c r="AH567" s="160"/>
      <c r="AI567" s="160"/>
      <c r="AJ567" s="161"/>
      <c r="AK567" s="162"/>
      <c r="AL567" s="165"/>
      <c r="AM567" s="166"/>
      <c r="AN567" s="165"/>
      <c r="AO567" s="160"/>
      <c r="AP567" s="162"/>
      <c r="AQ567" s="161"/>
      <c r="AR567" s="162"/>
      <c r="AS567" s="161"/>
      <c r="AT567" s="165"/>
      <c r="AU567" s="166"/>
      <c r="AV567" s="165"/>
      <c r="AW567" s="166"/>
      <c r="AX567" s="165"/>
      <c r="AY567" s="165"/>
      <c r="AZ567" s="165"/>
      <c r="BA567" s="165"/>
      <c r="BB567" s="166"/>
      <c r="BC567" s="165"/>
      <c r="BD567" s="165"/>
      <c r="BE567" s="165"/>
      <c r="BF567" s="165"/>
      <c r="BG567" s="165"/>
      <c r="BH567" s="165"/>
      <c r="BI567" s="165"/>
      <c r="BJ567" s="166"/>
      <c r="BK567" s="165"/>
      <c r="BL567" s="165"/>
      <c r="BM567" s="163"/>
      <c r="BN567" s="165"/>
      <c r="BO567" s="165"/>
      <c r="BP567" s="165"/>
      <c r="BQ567" s="167"/>
    </row>
    <row r="568" spans="1:270" ht="39.950000000000003" customHeight="1" outlineLevel="1" x14ac:dyDescent="0.3">
      <c r="A568" s="15" t="s">
        <v>727</v>
      </c>
      <c r="B568" s="14" t="s">
        <v>738</v>
      </c>
      <c r="C568" s="9" t="s">
        <v>73</v>
      </c>
      <c r="D568" s="66" t="s">
        <v>739</v>
      </c>
      <c r="E568" s="158">
        <f t="shared" si="119"/>
        <v>1335.28179</v>
      </c>
      <c r="F568" s="159">
        <f t="shared" si="120"/>
        <v>0</v>
      </c>
      <c r="G568" s="160">
        <f t="shared" si="121"/>
        <v>1335.28179</v>
      </c>
      <c r="H568" s="166"/>
      <c r="I568" s="165"/>
      <c r="J568" s="160"/>
      <c r="K568" s="160"/>
      <c r="L568" s="166"/>
      <c r="M568" s="165"/>
      <c r="N568" s="165"/>
      <c r="O568" s="165"/>
      <c r="P568" s="160"/>
      <c r="Q568" s="166"/>
      <c r="R568" s="165"/>
      <c r="S568" s="165"/>
      <c r="T568" s="159"/>
      <c r="U568" s="160"/>
      <c r="V568" s="165"/>
      <c r="W568" s="165"/>
      <c r="X568" s="160"/>
      <c r="Y568" s="166"/>
      <c r="Z568" s="160"/>
      <c r="AA568" s="160"/>
      <c r="AB568" s="165"/>
      <c r="AC568" s="165"/>
      <c r="AD568" s="165"/>
      <c r="AE568" s="165"/>
      <c r="AF568" s="160"/>
      <c r="AG568" s="160"/>
      <c r="AH568" s="160"/>
      <c r="AI568" s="160"/>
      <c r="AJ568" s="161"/>
      <c r="AK568" s="162"/>
      <c r="AL568" s="165"/>
      <c r="AM568" s="166"/>
      <c r="AN568" s="165"/>
      <c r="AO568" s="160"/>
      <c r="AP568" s="162"/>
      <c r="AQ568" s="161"/>
      <c r="AR568" s="162"/>
      <c r="AS568" s="161"/>
      <c r="AT568" s="165">
        <f>490.5+555.17+142.04988+147.56191</f>
        <v>1335.28179</v>
      </c>
      <c r="AU568" s="166"/>
      <c r="AV568" s="165"/>
      <c r="AW568" s="166"/>
      <c r="AX568" s="165"/>
      <c r="AY568" s="165"/>
      <c r="AZ568" s="165"/>
      <c r="BA568" s="165"/>
      <c r="BB568" s="166"/>
      <c r="BC568" s="165"/>
      <c r="BD568" s="165"/>
      <c r="BE568" s="165"/>
      <c r="BF568" s="165"/>
      <c r="BG568" s="165"/>
      <c r="BH568" s="165"/>
      <c r="BI568" s="165"/>
      <c r="BJ568" s="166"/>
      <c r="BK568" s="165"/>
      <c r="BL568" s="165"/>
      <c r="BM568" s="163"/>
      <c r="BN568" s="165"/>
      <c r="BO568" s="165"/>
      <c r="BP568" s="165"/>
      <c r="BQ568" s="167"/>
    </row>
    <row r="569" spans="1:270" ht="39.950000000000003" customHeight="1" outlineLevel="1" x14ac:dyDescent="0.3">
      <c r="A569" s="15" t="s">
        <v>727</v>
      </c>
      <c r="B569" s="14" t="s">
        <v>261</v>
      </c>
      <c r="C569" s="9" t="s">
        <v>6</v>
      </c>
      <c r="D569" s="66" t="s">
        <v>728</v>
      </c>
      <c r="E569" s="158">
        <f t="shared" si="119"/>
        <v>1022.64355</v>
      </c>
      <c r="F569" s="159">
        <f t="shared" si="120"/>
        <v>503.90391</v>
      </c>
      <c r="G569" s="160">
        <f t="shared" si="121"/>
        <v>518.73964000000001</v>
      </c>
      <c r="H569" s="166">
        <v>219.64425</v>
      </c>
      <c r="I569" s="165">
        <v>73.214749999999995</v>
      </c>
      <c r="J569" s="160"/>
      <c r="K569" s="160"/>
      <c r="L569" s="166">
        <v>284.25966</v>
      </c>
      <c r="M569" s="165">
        <v>445.52489000000003</v>
      </c>
      <c r="N569" s="165"/>
      <c r="O569" s="165"/>
      <c r="P569" s="160"/>
      <c r="Q569" s="166"/>
      <c r="R569" s="165"/>
      <c r="S569" s="165"/>
      <c r="T569" s="159"/>
      <c r="U569" s="160"/>
      <c r="V569" s="165"/>
      <c r="W569" s="165"/>
      <c r="X569" s="160"/>
      <c r="Y569" s="166"/>
      <c r="Z569" s="160"/>
      <c r="AA569" s="160"/>
      <c r="AB569" s="165"/>
      <c r="AC569" s="165"/>
      <c r="AD569" s="165"/>
      <c r="AE569" s="165"/>
      <c r="AF569" s="160"/>
      <c r="AG569" s="160"/>
      <c r="AH569" s="160"/>
      <c r="AI569" s="160"/>
      <c r="AJ569" s="161"/>
      <c r="AK569" s="162"/>
      <c r="AL569" s="165"/>
      <c r="AM569" s="166"/>
      <c r="AN569" s="165"/>
      <c r="AO569" s="160"/>
      <c r="AP569" s="162"/>
      <c r="AQ569" s="161"/>
      <c r="AR569" s="162"/>
      <c r="AS569" s="161"/>
      <c r="AT569" s="165"/>
      <c r="AU569" s="166"/>
      <c r="AV569" s="165"/>
      <c r="AW569" s="166"/>
      <c r="AX569" s="165"/>
      <c r="AY569" s="165"/>
      <c r="AZ569" s="165"/>
      <c r="BA569" s="165"/>
      <c r="BB569" s="166"/>
      <c r="BC569" s="165"/>
      <c r="BD569" s="165"/>
      <c r="BE569" s="165"/>
      <c r="BF569" s="165"/>
      <c r="BG569" s="165"/>
      <c r="BH569" s="165"/>
      <c r="BI569" s="165"/>
      <c r="BJ569" s="166"/>
      <c r="BK569" s="165"/>
      <c r="BL569" s="165"/>
      <c r="BM569" s="163"/>
      <c r="BN569" s="165"/>
      <c r="BO569" s="165"/>
      <c r="BP569" s="165"/>
      <c r="BQ569" s="167"/>
    </row>
    <row r="570" spans="1:270" ht="39.950000000000003" customHeight="1" outlineLevel="1" x14ac:dyDescent="0.3">
      <c r="A570" s="15" t="s">
        <v>727</v>
      </c>
      <c r="B570" s="14" t="s">
        <v>729</v>
      </c>
      <c r="C570" s="9" t="s">
        <v>6</v>
      </c>
      <c r="D570" s="66" t="s">
        <v>730</v>
      </c>
      <c r="E570" s="158">
        <f t="shared" si="119"/>
        <v>3605.0660699999999</v>
      </c>
      <c r="F570" s="159">
        <f t="shared" si="120"/>
        <v>1262.3142699999999</v>
      </c>
      <c r="G570" s="160">
        <f t="shared" si="121"/>
        <v>2342.7518</v>
      </c>
      <c r="H570" s="166">
        <v>396.18074999999999</v>
      </c>
      <c r="I570" s="165">
        <v>132.06025</v>
      </c>
      <c r="J570" s="160"/>
      <c r="K570" s="160"/>
      <c r="L570" s="166">
        <v>866.13351999999998</v>
      </c>
      <c r="M570" s="165">
        <v>1357.5054399999999</v>
      </c>
      <c r="N570" s="165"/>
      <c r="O570" s="165"/>
      <c r="P570" s="160"/>
      <c r="Q570" s="166"/>
      <c r="R570" s="165"/>
      <c r="S570" s="165"/>
      <c r="T570" s="159"/>
      <c r="U570" s="160"/>
      <c r="V570" s="165"/>
      <c r="W570" s="165"/>
      <c r="X570" s="160"/>
      <c r="Y570" s="166"/>
      <c r="Z570" s="160"/>
      <c r="AA570" s="160"/>
      <c r="AB570" s="165"/>
      <c r="AC570" s="165"/>
      <c r="AD570" s="165"/>
      <c r="AE570" s="165"/>
      <c r="AF570" s="160"/>
      <c r="AG570" s="160"/>
      <c r="AH570" s="160"/>
      <c r="AI570" s="160"/>
      <c r="AJ570" s="161"/>
      <c r="AK570" s="162"/>
      <c r="AL570" s="165"/>
      <c r="AM570" s="166"/>
      <c r="AN570" s="165"/>
      <c r="AO570" s="160"/>
      <c r="AP570" s="162"/>
      <c r="AQ570" s="161"/>
      <c r="AR570" s="162"/>
      <c r="AS570" s="161"/>
      <c r="AT570" s="165"/>
      <c r="AU570" s="166"/>
      <c r="AV570" s="165"/>
      <c r="AW570" s="166"/>
      <c r="AX570" s="165"/>
      <c r="AY570" s="165"/>
      <c r="AZ570" s="165"/>
      <c r="BA570" s="165"/>
      <c r="BB570" s="166"/>
      <c r="BC570" s="165"/>
      <c r="BD570" s="165"/>
      <c r="BE570" s="165">
        <v>853.18610999999999</v>
      </c>
      <c r="BF570" s="165"/>
      <c r="BG570" s="165"/>
      <c r="BH570" s="165"/>
      <c r="BI570" s="165"/>
      <c r="BJ570" s="166"/>
      <c r="BK570" s="165"/>
      <c r="BL570" s="165"/>
      <c r="BM570" s="163"/>
      <c r="BN570" s="165"/>
      <c r="BO570" s="165"/>
      <c r="BP570" s="165"/>
      <c r="BQ570" s="167"/>
    </row>
    <row r="571" spans="1:270" ht="39.950000000000003" customHeight="1" outlineLevel="1" x14ac:dyDescent="0.3">
      <c r="A571" s="15" t="s">
        <v>727</v>
      </c>
      <c r="B571" s="14" t="s">
        <v>348</v>
      </c>
      <c r="C571" s="9" t="s">
        <v>6</v>
      </c>
      <c r="D571" s="66" t="s">
        <v>731</v>
      </c>
      <c r="E571" s="158">
        <f t="shared" si="119"/>
        <v>2418.40175</v>
      </c>
      <c r="F571" s="159">
        <f t="shared" si="120"/>
        <v>1132.4205899999999</v>
      </c>
      <c r="G571" s="160">
        <f t="shared" si="121"/>
        <v>1285.98116</v>
      </c>
      <c r="H571" s="166">
        <v>396.18074999999999</v>
      </c>
      <c r="I571" s="165">
        <v>132.06025</v>
      </c>
      <c r="J571" s="160"/>
      <c r="K571" s="160"/>
      <c r="L571" s="166">
        <v>736.23983999999996</v>
      </c>
      <c r="M571" s="165">
        <v>1153.92091</v>
      </c>
      <c r="N571" s="165"/>
      <c r="O571" s="165"/>
      <c r="P571" s="160"/>
      <c r="Q571" s="166"/>
      <c r="R571" s="165"/>
      <c r="S571" s="165"/>
      <c r="T571" s="159"/>
      <c r="U571" s="160"/>
      <c r="V571" s="165"/>
      <c r="W571" s="165"/>
      <c r="X571" s="160"/>
      <c r="Y571" s="166"/>
      <c r="Z571" s="160"/>
      <c r="AA571" s="160"/>
      <c r="AB571" s="165"/>
      <c r="AC571" s="165"/>
      <c r="AD571" s="165"/>
      <c r="AE571" s="165"/>
      <c r="AF571" s="160"/>
      <c r="AG571" s="160"/>
      <c r="AH571" s="160"/>
      <c r="AI571" s="160"/>
      <c r="AJ571" s="161"/>
      <c r="AK571" s="162"/>
      <c r="AL571" s="165"/>
      <c r="AM571" s="166"/>
      <c r="AN571" s="165"/>
      <c r="AO571" s="160"/>
      <c r="AP571" s="162"/>
      <c r="AQ571" s="161"/>
      <c r="AR571" s="162"/>
      <c r="AS571" s="161"/>
      <c r="AT571" s="165"/>
      <c r="AU571" s="166"/>
      <c r="AV571" s="165"/>
      <c r="AW571" s="166"/>
      <c r="AX571" s="165"/>
      <c r="AY571" s="165"/>
      <c r="AZ571" s="165"/>
      <c r="BA571" s="165"/>
      <c r="BB571" s="166"/>
      <c r="BC571" s="165"/>
      <c r="BD571" s="165"/>
      <c r="BE571" s="165"/>
      <c r="BF571" s="165"/>
      <c r="BG571" s="165"/>
      <c r="BH571" s="165"/>
      <c r="BI571" s="165"/>
      <c r="BJ571" s="166"/>
      <c r="BK571" s="165"/>
      <c r="BL571" s="165"/>
      <c r="BM571" s="163"/>
      <c r="BN571" s="165"/>
      <c r="BO571" s="165"/>
      <c r="BP571" s="165"/>
      <c r="BQ571" s="167"/>
    </row>
    <row r="572" spans="1:270" ht="39.950000000000003" customHeight="1" outlineLevel="1" x14ac:dyDescent="0.3">
      <c r="A572" s="15" t="s">
        <v>727</v>
      </c>
      <c r="B572" s="14" t="s">
        <v>732</v>
      </c>
      <c r="C572" s="9" t="s">
        <v>6</v>
      </c>
      <c r="D572" s="66" t="s">
        <v>733</v>
      </c>
      <c r="E572" s="158">
        <f t="shared" si="119"/>
        <v>6157.1050500000001</v>
      </c>
      <c r="F572" s="159">
        <f t="shared" si="120"/>
        <v>1060.2087799999999</v>
      </c>
      <c r="G572" s="160">
        <f t="shared" si="121"/>
        <v>5096.8962700000002</v>
      </c>
      <c r="H572" s="166">
        <v>86.215500000000006</v>
      </c>
      <c r="I572" s="165">
        <v>28.738499999999998</v>
      </c>
      <c r="J572" s="160"/>
      <c r="K572" s="160"/>
      <c r="L572" s="166">
        <v>382.63177999999999</v>
      </c>
      <c r="M572" s="165">
        <v>599.70513000000005</v>
      </c>
      <c r="N572" s="165"/>
      <c r="O572" s="165"/>
      <c r="P572" s="160"/>
      <c r="Q572" s="166"/>
      <c r="R572" s="165"/>
      <c r="S572" s="165"/>
      <c r="T572" s="159"/>
      <c r="U572" s="160"/>
      <c r="V572" s="165"/>
      <c r="W572" s="165"/>
      <c r="X572" s="160"/>
      <c r="Y572" s="166">
        <v>591.36149999999998</v>
      </c>
      <c r="Z572" s="160">
        <v>197.12049999999999</v>
      </c>
      <c r="AA572" s="160">
        <v>2580.23918</v>
      </c>
      <c r="AB572" s="165"/>
      <c r="AC572" s="165"/>
      <c r="AD572" s="165"/>
      <c r="AE572" s="165"/>
      <c r="AF572" s="160"/>
      <c r="AG572" s="160"/>
      <c r="AH572" s="160"/>
      <c r="AI572" s="160"/>
      <c r="AJ572" s="161"/>
      <c r="AK572" s="162"/>
      <c r="AL572" s="165"/>
      <c r="AM572" s="166"/>
      <c r="AN572" s="165"/>
      <c r="AO572" s="160"/>
      <c r="AP572" s="162"/>
      <c r="AQ572" s="161"/>
      <c r="AR572" s="162"/>
      <c r="AS572" s="161"/>
      <c r="AT572" s="165"/>
      <c r="AU572" s="166"/>
      <c r="AV572" s="165"/>
      <c r="AW572" s="166"/>
      <c r="AX572" s="165"/>
      <c r="AY572" s="165"/>
      <c r="AZ572" s="165"/>
      <c r="BA572" s="165"/>
      <c r="BB572" s="166"/>
      <c r="BC572" s="165"/>
      <c r="BD572" s="165"/>
      <c r="BE572" s="165">
        <v>963.71295999999995</v>
      </c>
      <c r="BF572" s="165">
        <v>727.38</v>
      </c>
      <c r="BG572" s="165"/>
      <c r="BH572" s="165"/>
      <c r="BI572" s="165"/>
      <c r="BJ572" s="166"/>
      <c r="BK572" s="165"/>
      <c r="BL572" s="165"/>
      <c r="BM572" s="163"/>
      <c r="BN572" s="165"/>
      <c r="BO572" s="165"/>
      <c r="BP572" s="165"/>
      <c r="BQ572" s="167"/>
    </row>
    <row r="573" spans="1:270" ht="39.950000000000003" customHeight="1" outlineLevel="1" x14ac:dyDescent="0.3">
      <c r="A573" s="15" t="s">
        <v>727</v>
      </c>
      <c r="B573" s="14" t="s">
        <v>734</v>
      </c>
      <c r="C573" s="9" t="s">
        <v>6</v>
      </c>
      <c r="D573" s="66" t="s">
        <v>735</v>
      </c>
      <c r="E573" s="158">
        <f t="shared" si="119"/>
        <v>837.84662000000003</v>
      </c>
      <c r="F573" s="159">
        <f t="shared" si="120"/>
        <v>326.35111000000001</v>
      </c>
      <c r="G573" s="160">
        <f t="shared" si="121"/>
        <v>511.49551000000002</v>
      </c>
      <c r="H573" s="166"/>
      <c r="I573" s="165"/>
      <c r="J573" s="160"/>
      <c r="K573" s="160"/>
      <c r="L573" s="166">
        <v>326.35111000000001</v>
      </c>
      <c r="M573" s="165">
        <v>511.49551000000002</v>
      </c>
      <c r="N573" s="165"/>
      <c r="O573" s="165"/>
      <c r="P573" s="160"/>
      <c r="Q573" s="166"/>
      <c r="R573" s="165"/>
      <c r="S573" s="165"/>
      <c r="T573" s="159"/>
      <c r="U573" s="160"/>
      <c r="V573" s="165"/>
      <c r="W573" s="165"/>
      <c r="X573" s="160"/>
      <c r="Y573" s="166"/>
      <c r="Z573" s="160"/>
      <c r="AA573" s="160"/>
      <c r="AB573" s="165"/>
      <c r="AC573" s="165"/>
      <c r="AD573" s="165"/>
      <c r="AE573" s="165"/>
      <c r="AF573" s="160"/>
      <c r="AG573" s="160"/>
      <c r="AH573" s="160"/>
      <c r="AI573" s="160"/>
      <c r="AJ573" s="161"/>
      <c r="AK573" s="162"/>
      <c r="AL573" s="165"/>
      <c r="AM573" s="166"/>
      <c r="AN573" s="165"/>
      <c r="AO573" s="160"/>
      <c r="AP573" s="162"/>
      <c r="AQ573" s="161"/>
      <c r="AR573" s="162"/>
      <c r="AS573" s="161"/>
      <c r="AT573" s="165"/>
      <c r="AU573" s="166"/>
      <c r="AV573" s="165"/>
      <c r="AW573" s="166"/>
      <c r="AX573" s="165"/>
      <c r="AY573" s="165"/>
      <c r="AZ573" s="165"/>
      <c r="BA573" s="165"/>
      <c r="BB573" s="166"/>
      <c r="BC573" s="165"/>
      <c r="BD573" s="165"/>
      <c r="BE573" s="165"/>
      <c r="BF573" s="165"/>
      <c r="BG573" s="165"/>
      <c r="BH573" s="165"/>
      <c r="BI573" s="165"/>
      <c r="BJ573" s="166"/>
      <c r="BK573" s="165"/>
      <c r="BL573" s="165"/>
      <c r="BM573" s="163"/>
      <c r="BN573" s="165"/>
      <c r="BO573" s="165"/>
      <c r="BP573" s="165"/>
      <c r="BQ573" s="167"/>
    </row>
    <row r="574" spans="1:270" s="34" customFormat="1" ht="39.950000000000003" customHeight="1" x14ac:dyDescent="0.3">
      <c r="A574" s="118" t="s">
        <v>740</v>
      </c>
      <c r="B574" s="120"/>
      <c r="C574" s="116" t="s">
        <v>80</v>
      </c>
      <c r="D574" s="117"/>
      <c r="E574" s="171">
        <f>SUBTOTAL(9,E564:E573)</f>
        <v>15641.75331</v>
      </c>
      <c r="F574" s="171">
        <f t="shared" ref="F574:BP574" si="122">SUBTOTAL(9,F564:F573)</f>
        <v>4329.5948499999995</v>
      </c>
      <c r="G574" s="171">
        <f t="shared" si="122"/>
        <v>11312.158460000002</v>
      </c>
      <c r="H574" s="171">
        <f t="shared" si="122"/>
        <v>1098.2212500000001</v>
      </c>
      <c r="I574" s="171">
        <f t="shared" si="122"/>
        <v>366.07374999999996</v>
      </c>
      <c r="J574" s="171">
        <f t="shared" si="122"/>
        <v>0</v>
      </c>
      <c r="K574" s="171">
        <f t="shared" si="122"/>
        <v>0</v>
      </c>
      <c r="L574" s="171">
        <f t="shared" si="122"/>
        <v>2632.04862</v>
      </c>
      <c r="M574" s="171">
        <f t="shared" si="122"/>
        <v>4125.2534599999999</v>
      </c>
      <c r="N574" s="171">
        <f t="shared" si="122"/>
        <v>0</v>
      </c>
      <c r="O574" s="171">
        <f>SUBTOTAL(9,O564:O573)</f>
        <v>0</v>
      </c>
      <c r="P574" s="171">
        <f>SUBTOTAL(9,P564:P573)</f>
        <v>0</v>
      </c>
      <c r="Q574" s="171">
        <f t="shared" si="122"/>
        <v>0</v>
      </c>
      <c r="R574" s="171">
        <f t="shared" si="122"/>
        <v>0</v>
      </c>
      <c r="S574" s="171">
        <f t="shared" si="122"/>
        <v>0</v>
      </c>
      <c r="T574" s="171">
        <f>SUBTOTAL(9,T564:T573)</f>
        <v>0</v>
      </c>
      <c r="U574" s="171">
        <f>SUBTOTAL(9,U564:U573)</f>
        <v>0</v>
      </c>
      <c r="V574" s="171">
        <f t="shared" si="122"/>
        <v>0</v>
      </c>
      <c r="W574" s="171">
        <f t="shared" si="122"/>
        <v>0</v>
      </c>
      <c r="X574" s="171">
        <f>SUBTOTAL(9,X564:X573)</f>
        <v>0</v>
      </c>
      <c r="Y574" s="171">
        <f t="shared" si="122"/>
        <v>599.32497999999998</v>
      </c>
      <c r="Z574" s="171">
        <f t="shared" si="122"/>
        <v>199.77499</v>
      </c>
      <c r="AA574" s="171">
        <f t="shared" si="122"/>
        <v>2741.4953999999998</v>
      </c>
      <c r="AB574" s="171">
        <f t="shared" si="122"/>
        <v>0</v>
      </c>
      <c r="AC574" s="171">
        <f t="shared" si="122"/>
        <v>0</v>
      </c>
      <c r="AD574" s="171">
        <f>SUBTOTAL(9,AD564:AD573)</f>
        <v>0</v>
      </c>
      <c r="AE574" s="171">
        <f t="shared" si="122"/>
        <v>0</v>
      </c>
      <c r="AF574" s="171">
        <f t="shared" si="122"/>
        <v>0</v>
      </c>
      <c r="AG574" s="171">
        <f t="shared" si="122"/>
        <v>0</v>
      </c>
      <c r="AH574" s="171">
        <f t="shared" si="122"/>
        <v>0</v>
      </c>
      <c r="AI574" s="171">
        <f t="shared" si="122"/>
        <v>0</v>
      </c>
      <c r="AJ574" s="171">
        <f t="shared" si="122"/>
        <v>0</v>
      </c>
      <c r="AK574" s="171">
        <f t="shared" si="122"/>
        <v>0</v>
      </c>
      <c r="AL574" s="171">
        <f t="shared" si="122"/>
        <v>0</v>
      </c>
      <c r="AM574" s="171">
        <f>SUBTOTAL(9,AM564:AM573)</f>
        <v>0</v>
      </c>
      <c r="AN574" s="171">
        <f>SUBTOTAL(9,AN564:AN573)</f>
        <v>0</v>
      </c>
      <c r="AO574" s="171">
        <f>SUBTOTAL(9,AO564:AO573)</f>
        <v>0</v>
      </c>
      <c r="AP574" s="171">
        <f t="shared" si="122"/>
        <v>0</v>
      </c>
      <c r="AQ574" s="171">
        <f t="shared" si="122"/>
        <v>0</v>
      </c>
      <c r="AR574" s="171">
        <f t="shared" si="122"/>
        <v>0</v>
      </c>
      <c r="AS574" s="171">
        <f t="shared" si="122"/>
        <v>0</v>
      </c>
      <c r="AT574" s="171">
        <f>SUBTOTAL(9,AT564:AT573)</f>
        <v>1335.28179</v>
      </c>
      <c r="AU574" s="171">
        <f t="shared" si="122"/>
        <v>0</v>
      </c>
      <c r="AV574" s="171">
        <f t="shared" si="122"/>
        <v>0</v>
      </c>
      <c r="AW574" s="171">
        <f t="shared" si="122"/>
        <v>0</v>
      </c>
      <c r="AX574" s="171">
        <f t="shared" si="122"/>
        <v>0</v>
      </c>
      <c r="AY574" s="171">
        <f t="shared" si="122"/>
        <v>0</v>
      </c>
      <c r="AZ574" s="171">
        <f t="shared" si="122"/>
        <v>0</v>
      </c>
      <c r="BA574" s="171">
        <f t="shared" si="122"/>
        <v>0</v>
      </c>
      <c r="BB574" s="171">
        <f t="shared" si="122"/>
        <v>0</v>
      </c>
      <c r="BC574" s="171">
        <f t="shared" si="122"/>
        <v>0</v>
      </c>
      <c r="BD574" s="171">
        <f t="shared" si="122"/>
        <v>0</v>
      </c>
      <c r="BE574" s="171">
        <f t="shared" si="122"/>
        <v>1816.8990699999999</v>
      </c>
      <c r="BF574" s="171">
        <f t="shared" si="122"/>
        <v>727.38</v>
      </c>
      <c r="BG574" s="171">
        <f t="shared" si="122"/>
        <v>0</v>
      </c>
      <c r="BH574" s="171">
        <f t="shared" si="122"/>
        <v>0</v>
      </c>
      <c r="BI574" s="171">
        <f t="shared" si="122"/>
        <v>0</v>
      </c>
      <c r="BJ574" s="171">
        <f t="shared" si="122"/>
        <v>0</v>
      </c>
      <c r="BK574" s="171">
        <f t="shared" si="122"/>
        <v>0</v>
      </c>
      <c r="BL574" s="171">
        <f t="shared" si="122"/>
        <v>0</v>
      </c>
      <c r="BM574" s="172">
        <f>SUBTOTAL(9,BM564:BM573)</f>
        <v>0</v>
      </c>
      <c r="BN574" s="171">
        <f t="shared" si="122"/>
        <v>0</v>
      </c>
      <c r="BO574" s="171">
        <f t="shared" si="122"/>
        <v>0</v>
      </c>
      <c r="BP574" s="171">
        <f t="shared" si="122"/>
        <v>0</v>
      </c>
      <c r="BQ574" s="172">
        <f t="shared" ref="BQ574" si="123">SUBTOTAL(9,BQ564:BQ573)</f>
        <v>0</v>
      </c>
      <c r="BR574" s="40"/>
      <c r="BS574" s="40"/>
      <c r="BT574" s="40"/>
      <c r="BU574" s="40"/>
      <c r="BV574" s="40"/>
      <c r="BW574" s="40"/>
      <c r="BX574" s="40"/>
      <c r="BY574" s="40"/>
      <c r="BZ574" s="40"/>
      <c r="CA574" s="40"/>
      <c r="CB574" s="40"/>
      <c r="CC574" s="40"/>
      <c r="CD574" s="40"/>
      <c r="CE574" s="40"/>
      <c r="CF574" s="40"/>
      <c r="CG574" s="40"/>
      <c r="CH574" s="40"/>
      <c r="CI574" s="40"/>
      <c r="CJ574" s="40"/>
      <c r="CK574" s="40"/>
      <c r="CL574" s="40"/>
      <c r="CM574" s="40"/>
      <c r="CN574" s="40"/>
      <c r="CO574" s="40"/>
      <c r="CP574" s="40"/>
      <c r="CQ574" s="40"/>
      <c r="CR574" s="40"/>
      <c r="CS574" s="40"/>
      <c r="CT574" s="40"/>
      <c r="CU574" s="40"/>
      <c r="CV574" s="40"/>
      <c r="CW574" s="40"/>
      <c r="CX574" s="40"/>
      <c r="CY574" s="40"/>
      <c r="CZ574" s="40"/>
      <c r="DA574" s="40"/>
      <c r="DB574" s="40"/>
      <c r="DC574" s="40"/>
      <c r="DD574" s="40"/>
      <c r="DE574" s="40"/>
      <c r="DF574" s="40"/>
      <c r="DG574" s="40"/>
      <c r="DH574" s="40"/>
      <c r="DI574" s="40"/>
      <c r="DJ574" s="40"/>
      <c r="DK574" s="40"/>
      <c r="DL574" s="40"/>
      <c r="DM574" s="40"/>
      <c r="DN574" s="40"/>
      <c r="DO574" s="40"/>
      <c r="DP574" s="40"/>
      <c r="DQ574" s="40"/>
      <c r="DR574" s="40"/>
      <c r="DS574" s="40"/>
      <c r="DT574" s="40"/>
      <c r="DU574" s="40"/>
      <c r="DV574" s="40"/>
      <c r="DW574" s="40"/>
      <c r="DX574" s="40"/>
      <c r="DY574" s="40"/>
      <c r="DZ574" s="40"/>
      <c r="EA574" s="40"/>
      <c r="EB574" s="40"/>
      <c r="EC574" s="40"/>
      <c r="ED574" s="40"/>
      <c r="EE574" s="40"/>
      <c r="EF574" s="40"/>
      <c r="EG574" s="40"/>
      <c r="EH574" s="40"/>
      <c r="EI574" s="40"/>
      <c r="EJ574" s="40"/>
      <c r="EK574" s="40"/>
      <c r="EL574" s="40"/>
      <c r="EM574" s="40"/>
      <c r="EN574" s="40"/>
      <c r="EO574" s="40"/>
      <c r="EP574" s="40"/>
      <c r="EQ574" s="40"/>
      <c r="ER574" s="40"/>
      <c r="ES574" s="40"/>
      <c r="ET574" s="40"/>
      <c r="EU574" s="40"/>
      <c r="EV574" s="40"/>
      <c r="EW574" s="40"/>
      <c r="EX574" s="40"/>
      <c r="EY574" s="40"/>
      <c r="EZ574" s="40"/>
      <c r="FA574" s="40"/>
      <c r="FB574" s="40"/>
      <c r="FC574" s="40"/>
      <c r="FD574" s="40"/>
      <c r="FE574" s="40"/>
      <c r="FF574" s="40"/>
      <c r="FG574" s="40"/>
      <c r="FH574" s="40"/>
      <c r="FI574" s="40"/>
      <c r="FJ574" s="40"/>
      <c r="FK574" s="40"/>
      <c r="FL574" s="40"/>
      <c r="FM574" s="40"/>
      <c r="FN574" s="40"/>
      <c r="FO574" s="40"/>
      <c r="FP574" s="40"/>
      <c r="FQ574" s="40"/>
      <c r="FR574" s="40"/>
      <c r="FS574" s="40"/>
      <c r="FT574" s="40"/>
      <c r="FU574" s="40"/>
      <c r="FV574" s="40"/>
      <c r="FW574" s="40"/>
      <c r="FX574" s="40"/>
      <c r="FY574" s="40"/>
      <c r="FZ574" s="40"/>
      <c r="GA574" s="40"/>
      <c r="GB574" s="40"/>
      <c r="GC574" s="40"/>
      <c r="GD574" s="40"/>
      <c r="GE574" s="40"/>
      <c r="GF574" s="40"/>
      <c r="GG574" s="40"/>
      <c r="GH574" s="40"/>
      <c r="GI574" s="40"/>
      <c r="GJ574" s="40"/>
      <c r="GK574" s="40"/>
      <c r="GL574" s="40"/>
      <c r="GM574" s="40"/>
      <c r="GN574" s="40"/>
      <c r="GO574" s="40"/>
      <c r="GP574" s="40"/>
      <c r="GQ574" s="40"/>
      <c r="GR574" s="40"/>
      <c r="GS574" s="40"/>
      <c r="GT574" s="40"/>
      <c r="GU574" s="40"/>
      <c r="GV574" s="40"/>
      <c r="GW574" s="40"/>
      <c r="GX574" s="40"/>
      <c r="GY574" s="40"/>
      <c r="GZ574" s="40"/>
      <c r="HA574" s="40"/>
      <c r="HB574" s="40"/>
      <c r="HC574" s="40"/>
      <c r="HD574" s="40"/>
      <c r="HE574" s="40"/>
      <c r="HF574" s="40"/>
      <c r="HG574" s="40"/>
      <c r="HH574" s="40"/>
      <c r="HI574" s="40"/>
      <c r="HJ574" s="40"/>
      <c r="HK574" s="40"/>
      <c r="HL574" s="40"/>
      <c r="HM574" s="40"/>
      <c r="HN574" s="40"/>
      <c r="HO574" s="40"/>
      <c r="HP574" s="40"/>
      <c r="HQ574" s="40"/>
      <c r="HR574" s="40"/>
      <c r="HS574" s="40"/>
      <c r="HT574" s="40"/>
      <c r="HU574" s="40"/>
      <c r="HV574" s="40"/>
      <c r="HW574" s="40"/>
      <c r="HX574" s="40"/>
      <c r="HY574" s="40"/>
      <c r="HZ574" s="40"/>
      <c r="IA574" s="40"/>
      <c r="IB574" s="40"/>
      <c r="IC574" s="40"/>
      <c r="ID574" s="40"/>
      <c r="IE574" s="40"/>
      <c r="IF574" s="40"/>
      <c r="IG574" s="40"/>
      <c r="IH574" s="40"/>
      <c r="II574" s="40"/>
      <c r="IJ574" s="40"/>
      <c r="IK574" s="40"/>
      <c r="IL574" s="40"/>
      <c r="IM574" s="40"/>
      <c r="IN574" s="40"/>
      <c r="IO574" s="40"/>
      <c r="IP574" s="40"/>
      <c r="IQ574" s="40"/>
      <c r="IR574" s="40"/>
      <c r="IS574" s="40"/>
      <c r="IT574" s="40"/>
      <c r="IU574" s="40"/>
      <c r="IV574" s="40"/>
      <c r="IW574" s="40"/>
      <c r="IX574" s="40"/>
      <c r="IY574" s="40"/>
      <c r="IZ574" s="40"/>
      <c r="JA574" s="40"/>
      <c r="JB574" s="40"/>
      <c r="JC574" s="40"/>
      <c r="JD574" s="40"/>
      <c r="JE574" s="40"/>
      <c r="JF574" s="40"/>
      <c r="JG574" s="40"/>
      <c r="JH574" s="40"/>
      <c r="JI574" s="40"/>
      <c r="JJ574" s="40"/>
    </row>
    <row r="575" spans="1:270" ht="39.950000000000003" customHeight="1" outlineLevel="1" x14ac:dyDescent="0.3">
      <c r="A575" s="15" t="s">
        <v>741</v>
      </c>
      <c r="B575" s="14" t="s">
        <v>1389</v>
      </c>
      <c r="C575" s="9" t="s">
        <v>30</v>
      </c>
      <c r="D575" s="66">
        <v>242903696224</v>
      </c>
      <c r="E575" s="158">
        <f t="shared" ref="E575:E638" si="124">F575+G575</f>
        <v>4469.4474899999996</v>
      </c>
      <c r="F575" s="159">
        <f t="shared" ref="F575:F606" si="125">H575+L575+Q575+Y575+T575+AK575+AP575+AM575+AR575+AU575+AW575+BB575+BJ575</f>
        <v>432.98490000000004</v>
      </c>
      <c r="G575" s="160">
        <f t="shared" ref="G575:G606" si="126">I575+J575+K575+M575+N575+R575+S575+V575+W575+AD575+O575+X575+Z575+AA575+AB575+AC575+AE575+AF575+P575+U575+AG575+AH575+AI575+AO575+AJ575+AL575+AQ575+AN575+AS575+AV575+AX575+AY575+AZ575+BA575+BC575+BD575+BE575+BF575+BG575+BH575+BI575+AT575+BK575+BL575+BN575+BO575+BP575+BQ575+BM575</f>
        <v>4036.4625899999996</v>
      </c>
      <c r="H575" s="166">
        <v>410.55</v>
      </c>
      <c r="I575" s="165">
        <v>136.85</v>
      </c>
      <c r="J575" s="160"/>
      <c r="K575" s="160"/>
      <c r="L575" s="166">
        <v>22.434899999999999</v>
      </c>
      <c r="M575" s="165">
        <v>35.162590000000002</v>
      </c>
      <c r="N575" s="165"/>
      <c r="O575" s="165"/>
      <c r="P575" s="160"/>
      <c r="Q575" s="166"/>
      <c r="R575" s="165"/>
      <c r="S575" s="165"/>
      <c r="T575" s="159"/>
      <c r="U575" s="160"/>
      <c r="V575" s="165"/>
      <c r="W575" s="165"/>
      <c r="X575" s="160"/>
      <c r="Y575" s="166"/>
      <c r="Z575" s="160"/>
      <c r="AA575" s="160"/>
      <c r="AB575" s="165"/>
      <c r="AC575" s="165"/>
      <c r="AD575" s="165"/>
      <c r="AE575" s="165"/>
      <c r="AF575" s="160"/>
      <c r="AG575" s="160"/>
      <c r="AH575" s="160"/>
      <c r="AI575" s="160"/>
      <c r="AJ575" s="161"/>
      <c r="AK575" s="162"/>
      <c r="AL575" s="165"/>
      <c r="AM575" s="166"/>
      <c r="AN575" s="165"/>
      <c r="AO575" s="160"/>
      <c r="AP575" s="162"/>
      <c r="AQ575" s="161"/>
      <c r="AR575" s="162"/>
      <c r="AS575" s="161"/>
      <c r="AT575" s="165"/>
      <c r="AU575" s="166"/>
      <c r="AV575" s="165"/>
      <c r="AW575" s="166"/>
      <c r="AX575" s="165"/>
      <c r="AY575" s="165"/>
      <c r="AZ575" s="165"/>
      <c r="BA575" s="165"/>
      <c r="BB575" s="166"/>
      <c r="BC575" s="165"/>
      <c r="BD575" s="165"/>
      <c r="BE575" s="165"/>
      <c r="BF575" s="165"/>
      <c r="BG575" s="165"/>
      <c r="BH575" s="165">
        <v>3864.45</v>
      </c>
      <c r="BI575" s="165"/>
      <c r="BJ575" s="166"/>
      <c r="BK575" s="165"/>
      <c r="BL575" s="165"/>
      <c r="BM575" s="163"/>
      <c r="BN575" s="165"/>
      <c r="BO575" s="165"/>
      <c r="BP575" s="165"/>
      <c r="BQ575" s="167"/>
    </row>
    <row r="576" spans="1:270" ht="39.950000000000003" customHeight="1" outlineLevel="1" x14ac:dyDescent="0.3">
      <c r="A576" s="15" t="s">
        <v>741</v>
      </c>
      <c r="B576" s="14" t="s">
        <v>761</v>
      </c>
      <c r="C576" s="9" t="s">
        <v>30</v>
      </c>
      <c r="D576" s="66" t="s">
        <v>762</v>
      </c>
      <c r="E576" s="158">
        <f t="shared" si="124"/>
        <v>344.79398000000003</v>
      </c>
      <c r="F576" s="159">
        <f t="shared" si="125"/>
        <v>122.91675000000001</v>
      </c>
      <c r="G576" s="160">
        <f t="shared" si="126"/>
        <v>221.87723</v>
      </c>
      <c r="H576" s="166">
        <v>55.424250000000001</v>
      </c>
      <c r="I576" s="165">
        <v>18.47475</v>
      </c>
      <c r="J576" s="160"/>
      <c r="K576" s="160"/>
      <c r="L576" s="166">
        <v>67.492500000000007</v>
      </c>
      <c r="M576" s="165">
        <v>105.78211</v>
      </c>
      <c r="N576" s="165"/>
      <c r="O576" s="165"/>
      <c r="P576" s="160"/>
      <c r="Q576" s="166"/>
      <c r="R576" s="165"/>
      <c r="S576" s="165"/>
      <c r="T576" s="159"/>
      <c r="U576" s="160"/>
      <c r="V576" s="165"/>
      <c r="W576" s="165"/>
      <c r="X576" s="160"/>
      <c r="Y576" s="166"/>
      <c r="Z576" s="160"/>
      <c r="AA576" s="160"/>
      <c r="AB576" s="165"/>
      <c r="AC576" s="165"/>
      <c r="AD576" s="165"/>
      <c r="AE576" s="165"/>
      <c r="AF576" s="160"/>
      <c r="AG576" s="160"/>
      <c r="AH576" s="160"/>
      <c r="AI576" s="160"/>
      <c r="AJ576" s="161"/>
      <c r="AK576" s="162"/>
      <c r="AL576" s="165"/>
      <c r="AM576" s="166"/>
      <c r="AN576" s="165"/>
      <c r="AO576" s="160"/>
      <c r="AP576" s="162"/>
      <c r="AQ576" s="161"/>
      <c r="AR576" s="162"/>
      <c r="AS576" s="161"/>
      <c r="AT576" s="165"/>
      <c r="AU576" s="166"/>
      <c r="AV576" s="165"/>
      <c r="AW576" s="166"/>
      <c r="AX576" s="165"/>
      <c r="AY576" s="165"/>
      <c r="AZ576" s="165"/>
      <c r="BA576" s="165">
        <v>97.620369999999994</v>
      </c>
      <c r="BB576" s="166"/>
      <c r="BC576" s="165"/>
      <c r="BD576" s="165"/>
      <c r="BE576" s="165"/>
      <c r="BF576" s="165"/>
      <c r="BG576" s="165"/>
      <c r="BH576" s="165"/>
      <c r="BI576" s="165"/>
      <c r="BJ576" s="166"/>
      <c r="BK576" s="165"/>
      <c r="BL576" s="165"/>
      <c r="BM576" s="163"/>
      <c r="BN576" s="165"/>
      <c r="BO576" s="165"/>
      <c r="BP576" s="165"/>
      <c r="BQ576" s="167"/>
    </row>
    <row r="577" spans="1:69" ht="39.950000000000003" customHeight="1" outlineLevel="1" x14ac:dyDescent="0.3">
      <c r="A577" s="15" t="s">
        <v>741</v>
      </c>
      <c r="B577" s="14" t="s">
        <v>763</v>
      </c>
      <c r="C577" s="9" t="s">
        <v>30</v>
      </c>
      <c r="D577" s="66" t="s">
        <v>764</v>
      </c>
      <c r="E577" s="158">
        <f t="shared" si="124"/>
        <v>326.11788999999999</v>
      </c>
      <c r="F577" s="159">
        <f t="shared" si="125"/>
        <v>190.61178999999998</v>
      </c>
      <c r="G577" s="160">
        <f t="shared" si="126"/>
        <v>135.5061</v>
      </c>
      <c r="H577" s="166">
        <v>88.268249999999995</v>
      </c>
      <c r="I577" s="165">
        <v>29.422750000000001</v>
      </c>
      <c r="J577" s="160"/>
      <c r="K577" s="160"/>
      <c r="L577" s="166">
        <v>59.524099999999997</v>
      </c>
      <c r="M577" s="165">
        <v>93.293120000000002</v>
      </c>
      <c r="N577" s="165"/>
      <c r="O577" s="165"/>
      <c r="P577" s="160"/>
      <c r="Q577" s="166"/>
      <c r="R577" s="165"/>
      <c r="S577" s="165"/>
      <c r="T577" s="159"/>
      <c r="U577" s="160"/>
      <c r="V577" s="165"/>
      <c r="W577" s="165"/>
      <c r="X577" s="160"/>
      <c r="Y577" s="166"/>
      <c r="Z577" s="160"/>
      <c r="AA577" s="160"/>
      <c r="AB577" s="165"/>
      <c r="AC577" s="165"/>
      <c r="AD577" s="165"/>
      <c r="AE577" s="165"/>
      <c r="AF577" s="160"/>
      <c r="AG577" s="160"/>
      <c r="AH577" s="160"/>
      <c r="AI577" s="160"/>
      <c r="AJ577" s="161"/>
      <c r="AK577" s="162"/>
      <c r="AL577" s="165"/>
      <c r="AM577" s="166"/>
      <c r="AN577" s="165"/>
      <c r="AO577" s="160"/>
      <c r="AP577" s="162"/>
      <c r="AQ577" s="161"/>
      <c r="AR577" s="162"/>
      <c r="AS577" s="161"/>
      <c r="AT577" s="165"/>
      <c r="AU577" s="166"/>
      <c r="AV577" s="165"/>
      <c r="AW577" s="166">
        <v>42.81944</v>
      </c>
      <c r="AX577" s="165">
        <v>12.790229999999999</v>
      </c>
      <c r="AY577" s="165"/>
      <c r="AZ577" s="165"/>
      <c r="BA577" s="165"/>
      <c r="BB577" s="166"/>
      <c r="BC577" s="165"/>
      <c r="BD577" s="165"/>
      <c r="BE577" s="165"/>
      <c r="BF577" s="165"/>
      <c r="BG577" s="165"/>
      <c r="BH577" s="165"/>
      <c r="BI577" s="165"/>
      <c r="BJ577" s="166"/>
      <c r="BK577" s="165"/>
      <c r="BL577" s="165"/>
      <c r="BM577" s="163"/>
      <c r="BN577" s="165"/>
      <c r="BO577" s="165"/>
      <c r="BP577" s="165"/>
      <c r="BQ577" s="167"/>
    </row>
    <row r="578" spans="1:69" ht="39.950000000000003" customHeight="1" outlineLevel="1" x14ac:dyDescent="0.3">
      <c r="A578" s="17" t="s">
        <v>741</v>
      </c>
      <c r="B578" s="12" t="s">
        <v>1289</v>
      </c>
      <c r="C578" s="9" t="s">
        <v>30</v>
      </c>
      <c r="D578" s="66" t="s">
        <v>765</v>
      </c>
      <c r="E578" s="158">
        <f t="shared" si="124"/>
        <v>3596.7147000000004</v>
      </c>
      <c r="F578" s="159">
        <f t="shared" si="125"/>
        <v>503.65444000000002</v>
      </c>
      <c r="G578" s="160">
        <f t="shared" si="126"/>
        <v>3093.0602600000002</v>
      </c>
      <c r="H578" s="166"/>
      <c r="I578" s="165"/>
      <c r="J578" s="160"/>
      <c r="K578" s="160"/>
      <c r="L578" s="166">
        <v>267.80878999999999</v>
      </c>
      <c r="M578" s="165">
        <v>419.74115999999998</v>
      </c>
      <c r="N578" s="165"/>
      <c r="O578" s="165"/>
      <c r="P578" s="160"/>
      <c r="Q578" s="166"/>
      <c r="R578" s="165"/>
      <c r="S578" s="165"/>
      <c r="T578" s="159"/>
      <c r="U578" s="160"/>
      <c r="V578" s="165"/>
      <c r="W578" s="165"/>
      <c r="X578" s="160"/>
      <c r="Y578" s="166"/>
      <c r="Z578" s="160"/>
      <c r="AA578" s="160"/>
      <c r="AB578" s="165"/>
      <c r="AC578" s="165"/>
      <c r="AD578" s="165"/>
      <c r="AE578" s="165"/>
      <c r="AF578" s="160"/>
      <c r="AG578" s="160">
        <v>9.3562799999999999</v>
      </c>
      <c r="AH578" s="160"/>
      <c r="AI578" s="160"/>
      <c r="AJ578" s="161"/>
      <c r="AK578" s="162"/>
      <c r="AL578" s="165"/>
      <c r="AM578" s="166"/>
      <c r="AN578" s="165"/>
      <c r="AO578" s="160"/>
      <c r="AP578" s="162"/>
      <c r="AQ578" s="161"/>
      <c r="AR578" s="162"/>
      <c r="AS578" s="161"/>
      <c r="AT578" s="165"/>
      <c r="AU578" s="166"/>
      <c r="AV578" s="165"/>
      <c r="AW578" s="166">
        <f>158.70729+77.13836</f>
        <v>235.84565000000001</v>
      </c>
      <c r="AX578" s="165">
        <f>31.94757+15.52784+47.40608+23.04133</f>
        <v>117.92282</v>
      </c>
      <c r="AY578" s="165"/>
      <c r="AZ578" s="165"/>
      <c r="BA578" s="165"/>
      <c r="BB578" s="166"/>
      <c r="BC578" s="165"/>
      <c r="BD578" s="165"/>
      <c r="BE578" s="165"/>
      <c r="BF578" s="165"/>
      <c r="BG578" s="165"/>
      <c r="BH578" s="165">
        <v>2546.04</v>
      </c>
      <c r="BI578" s="165"/>
      <c r="BJ578" s="166"/>
      <c r="BK578" s="165"/>
      <c r="BL578" s="165"/>
      <c r="BM578" s="163"/>
      <c r="BN578" s="165"/>
      <c r="BO578" s="165"/>
      <c r="BP578" s="165"/>
      <c r="BQ578" s="167"/>
    </row>
    <row r="579" spans="1:69" ht="39.950000000000003" customHeight="1" outlineLevel="1" x14ac:dyDescent="0.3">
      <c r="A579" s="17" t="s">
        <v>741</v>
      </c>
      <c r="B579" s="12" t="s">
        <v>766</v>
      </c>
      <c r="C579" s="9" t="s">
        <v>30</v>
      </c>
      <c r="D579" s="66">
        <v>242903556379</v>
      </c>
      <c r="E579" s="158">
        <f t="shared" si="124"/>
        <v>332.8</v>
      </c>
      <c r="F579" s="159">
        <f t="shared" si="125"/>
        <v>0</v>
      </c>
      <c r="G579" s="160">
        <f t="shared" si="126"/>
        <v>332.8</v>
      </c>
      <c r="H579" s="166"/>
      <c r="I579" s="165"/>
      <c r="J579" s="160"/>
      <c r="K579" s="160"/>
      <c r="L579" s="166"/>
      <c r="M579" s="165"/>
      <c r="N579" s="165"/>
      <c r="O579" s="165"/>
      <c r="P579" s="160"/>
      <c r="Q579" s="166"/>
      <c r="R579" s="165"/>
      <c r="S579" s="165"/>
      <c r="T579" s="159"/>
      <c r="U579" s="160"/>
      <c r="V579" s="165"/>
      <c r="W579" s="165">
        <v>332.8</v>
      </c>
      <c r="X579" s="160"/>
      <c r="Y579" s="166"/>
      <c r="Z579" s="160"/>
      <c r="AA579" s="160"/>
      <c r="AB579" s="165"/>
      <c r="AC579" s="165"/>
      <c r="AD579" s="165"/>
      <c r="AE579" s="165"/>
      <c r="AF579" s="160"/>
      <c r="AG579" s="160"/>
      <c r="AH579" s="160"/>
      <c r="AI579" s="160"/>
      <c r="AJ579" s="161"/>
      <c r="AK579" s="162"/>
      <c r="AL579" s="165"/>
      <c r="AM579" s="166"/>
      <c r="AN579" s="165"/>
      <c r="AO579" s="160"/>
      <c r="AP579" s="162"/>
      <c r="AQ579" s="161"/>
      <c r="AR579" s="162"/>
      <c r="AS579" s="161"/>
      <c r="AT579" s="165"/>
      <c r="AU579" s="166"/>
      <c r="AV579" s="165"/>
      <c r="AW579" s="166"/>
      <c r="AX579" s="165"/>
      <c r="AY579" s="165"/>
      <c r="AZ579" s="165"/>
      <c r="BA579" s="165"/>
      <c r="BB579" s="166"/>
      <c r="BC579" s="165"/>
      <c r="BD579" s="165"/>
      <c r="BE579" s="165"/>
      <c r="BF579" s="165"/>
      <c r="BG579" s="165"/>
      <c r="BH579" s="165"/>
      <c r="BI579" s="165"/>
      <c r="BJ579" s="166"/>
      <c r="BK579" s="165"/>
      <c r="BL579" s="165"/>
      <c r="BM579" s="163"/>
      <c r="BN579" s="165"/>
      <c r="BO579" s="165"/>
      <c r="BP579" s="165"/>
      <c r="BQ579" s="167"/>
    </row>
    <row r="580" spans="1:69" ht="39.950000000000003" customHeight="1" outlineLevel="1" x14ac:dyDescent="0.3">
      <c r="A580" s="17" t="s">
        <v>741</v>
      </c>
      <c r="B580" s="12" t="s">
        <v>767</v>
      </c>
      <c r="C580" s="9" t="s">
        <v>30</v>
      </c>
      <c r="D580" s="66">
        <v>242900181347</v>
      </c>
      <c r="E580" s="158">
        <f t="shared" si="124"/>
        <v>482.56</v>
      </c>
      <c r="F580" s="159">
        <f t="shared" si="125"/>
        <v>0</v>
      </c>
      <c r="G580" s="160">
        <f t="shared" si="126"/>
        <v>482.56</v>
      </c>
      <c r="H580" s="166"/>
      <c r="I580" s="165"/>
      <c r="J580" s="160"/>
      <c r="K580" s="160"/>
      <c r="L580" s="166"/>
      <c r="M580" s="165"/>
      <c r="N580" s="165"/>
      <c r="O580" s="165"/>
      <c r="P580" s="160"/>
      <c r="Q580" s="166"/>
      <c r="R580" s="165"/>
      <c r="S580" s="165"/>
      <c r="T580" s="159"/>
      <c r="U580" s="160"/>
      <c r="V580" s="165"/>
      <c r="W580" s="165">
        <v>482.56</v>
      </c>
      <c r="X580" s="160"/>
      <c r="Y580" s="166"/>
      <c r="Z580" s="160"/>
      <c r="AA580" s="160"/>
      <c r="AB580" s="165"/>
      <c r="AC580" s="165"/>
      <c r="AD580" s="165"/>
      <c r="AE580" s="165"/>
      <c r="AF580" s="160"/>
      <c r="AG580" s="160"/>
      <c r="AH580" s="160"/>
      <c r="AI580" s="160"/>
      <c r="AJ580" s="161"/>
      <c r="AK580" s="162"/>
      <c r="AL580" s="165"/>
      <c r="AM580" s="166"/>
      <c r="AN580" s="165"/>
      <c r="AO580" s="160"/>
      <c r="AP580" s="162"/>
      <c r="AQ580" s="161"/>
      <c r="AR580" s="162"/>
      <c r="AS580" s="161"/>
      <c r="AT580" s="165"/>
      <c r="AU580" s="166"/>
      <c r="AV580" s="165"/>
      <c r="AW580" s="166"/>
      <c r="AX580" s="165"/>
      <c r="AY580" s="165"/>
      <c r="AZ580" s="165"/>
      <c r="BA580" s="165"/>
      <c r="BB580" s="166"/>
      <c r="BC580" s="165"/>
      <c r="BD580" s="165"/>
      <c r="BE580" s="165"/>
      <c r="BF580" s="165"/>
      <c r="BG580" s="165"/>
      <c r="BH580" s="165"/>
      <c r="BI580" s="165"/>
      <c r="BJ580" s="166"/>
      <c r="BK580" s="165"/>
      <c r="BL580" s="165"/>
      <c r="BM580" s="163"/>
      <c r="BN580" s="165"/>
      <c r="BO580" s="165"/>
      <c r="BP580" s="165"/>
      <c r="BQ580" s="167"/>
    </row>
    <row r="581" spans="1:69" ht="39.950000000000003" customHeight="1" outlineLevel="1" x14ac:dyDescent="0.3">
      <c r="A581" s="15" t="s">
        <v>741</v>
      </c>
      <c r="B581" s="14" t="s">
        <v>768</v>
      </c>
      <c r="C581" s="9" t="s">
        <v>30</v>
      </c>
      <c r="D581" s="66" t="s">
        <v>769</v>
      </c>
      <c r="E581" s="158">
        <f t="shared" si="124"/>
        <v>159.85678999999999</v>
      </c>
      <c r="F581" s="159">
        <f t="shared" si="125"/>
        <v>82.985880000000009</v>
      </c>
      <c r="G581" s="160">
        <f t="shared" si="126"/>
        <v>76.870909999999995</v>
      </c>
      <c r="H581" s="166">
        <v>43.107750000000003</v>
      </c>
      <c r="I581" s="165">
        <v>14.369249999999999</v>
      </c>
      <c r="J581" s="160"/>
      <c r="K581" s="160"/>
      <c r="L581" s="166">
        <v>39.878129999999999</v>
      </c>
      <c r="M581" s="165">
        <v>62.501660000000001</v>
      </c>
      <c r="N581" s="165"/>
      <c r="O581" s="165"/>
      <c r="P581" s="160"/>
      <c r="Q581" s="166"/>
      <c r="R581" s="165"/>
      <c r="S581" s="165"/>
      <c r="T581" s="159"/>
      <c r="U581" s="160"/>
      <c r="V581" s="165"/>
      <c r="W581" s="165"/>
      <c r="X581" s="160"/>
      <c r="Y581" s="166"/>
      <c r="Z581" s="160"/>
      <c r="AA581" s="160"/>
      <c r="AB581" s="165"/>
      <c r="AC581" s="165"/>
      <c r="AD581" s="165"/>
      <c r="AE581" s="165"/>
      <c r="AF581" s="160"/>
      <c r="AG581" s="160"/>
      <c r="AH581" s="160"/>
      <c r="AI581" s="160"/>
      <c r="AJ581" s="161"/>
      <c r="AK581" s="162"/>
      <c r="AL581" s="165"/>
      <c r="AM581" s="166"/>
      <c r="AN581" s="165"/>
      <c r="AO581" s="160"/>
      <c r="AP581" s="162"/>
      <c r="AQ581" s="161"/>
      <c r="AR581" s="162"/>
      <c r="AS581" s="161"/>
      <c r="AT581" s="165"/>
      <c r="AU581" s="166"/>
      <c r="AV581" s="165"/>
      <c r="AW581" s="166"/>
      <c r="AX581" s="165"/>
      <c r="AY581" s="165"/>
      <c r="AZ581" s="165"/>
      <c r="BA581" s="165"/>
      <c r="BB581" s="166"/>
      <c r="BC581" s="165"/>
      <c r="BD581" s="165"/>
      <c r="BE581" s="165"/>
      <c r="BF581" s="165"/>
      <c r="BG581" s="165"/>
      <c r="BH581" s="165"/>
      <c r="BI581" s="165"/>
      <c r="BJ581" s="166"/>
      <c r="BK581" s="165"/>
      <c r="BL581" s="165"/>
      <c r="BM581" s="163"/>
      <c r="BN581" s="165"/>
      <c r="BO581" s="165"/>
      <c r="BP581" s="165"/>
      <c r="BQ581" s="167"/>
    </row>
    <row r="582" spans="1:69" ht="39.950000000000003" customHeight="1" outlineLevel="1" x14ac:dyDescent="0.3">
      <c r="A582" s="15" t="s">
        <v>741</v>
      </c>
      <c r="B582" s="14" t="s">
        <v>832</v>
      </c>
      <c r="C582" s="9" t="s">
        <v>30</v>
      </c>
      <c r="D582" s="9" t="s">
        <v>1234</v>
      </c>
      <c r="E582" s="158">
        <f t="shared" si="124"/>
        <v>171.23402999999999</v>
      </c>
      <c r="F582" s="159">
        <f t="shared" si="125"/>
        <v>42.230849999999997</v>
      </c>
      <c r="G582" s="160">
        <f t="shared" si="126"/>
        <v>129.00317999999999</v>
      </c>
      <c r="H582" s="166"/>
      <c r="I582" s="165"/>
      <c r="J582" s="160"/>
      <c r="K582" s="160"/>
      <c r="L582" s="166">
        <v>42.230849999999997</v>
      </c>
      <c r="M582" s="165">
        <v>66.189099999999996</v>
      </c>
      <c r="N582" s="165"/>
      <c r="O582" s="165"/>
      <c r="P582" s="160"/>
      <c r="Q582" s="166"/>
      <c r="R582" s="165"/>
      <c r="S582" s="165"/>
      <c r="T582" s="159"/>
      <c r="U582" s="160"/>
      <c r="V582" s="165"/>
      <c r="W582" s="165"/>
      <c r="X582" s="160"/>
      <c r="Y582" s="166"/>
      <c r="Z582" s="160"/>
      <c r="AA582" s="160"/>
      <c r="AB582" s="165"/>
      <c r="AC582" s="165"/>
      <c r="AD582" s="165"/>
      <c r="AE582" s="165"/>
      <c r="AF582" s="160"/>
      <c r="AG582" s="160"/>
      <c r="AH582" s="160"/>
      <c r="AI582" s="160"/>
      <c r="AJ582" s="161"/>
      <c r="AK582" s="162"/>
      <c r="AL582" s="165"/>
      <c r="AM582" s="166"/>
      <c r="AN582" s="165"/>
      <c r="AO582" s="160"/>
      <c r="AP582" s="162"/>
      <c r="AQ582" s="161"/>
      <c r="AR582" s="162"/>
      <c r="AS582" s="161"/>
      <c r="AT582" s="165"/>
      <c r="AU582" s="166"/>
      <c r="AV582" s="165"/>
      <c r="AW582" s="166"/>
      <c r="AX582" s="165"/>
      <c r="AY582" s="165">
        <v>62.814079999999997</v>
      </c>
      <c r="AZ582" s="165"/>
      <c r="BA582" s="165"/>
      <c r="BB582" s="166"/>
      <c r="BC582" s="165"/>
      <c r="BD582" s="165"/>
      <c r="BE582" s="165"/>
      <c r="BF582" s="165"/>
      <c r="BG582" s="165"/>
      <c r="BH582" s="165"/>
      <c r="BI582" s="165"/>
      <c r="BJ582" s="166"/>
      <c r="BK582" s="165"/>
      <c r="BL582" s="165"/>
      <c r="BM582" s="163"/>
      <c r="BN582" s="165"/>
      <c r="BO582" s="165"/>
      <c r="BP582" s="165"/>
      <c r="BQ582" s="167"/>
    </row>
    <row r="583" spans="1:69" ht="39.950000000000003" customHeight="1" outlineLevel="1" x14ac:dyDescent="0.3">
      <c r="A583" s="15" t="s">
        <v>741</v>
      </c>
      <c r="B583" s="14" t="s">
        <v>770</v>
      </c>
      <c r="C583" s="9" t="s">
        <v>30</v>
      </c>
      <c r="D583" s="66" t="s">
        <v>771</v>
      </c>
      <c r="E583" s="158">
        <f t="shared" si="124"/>
        <v>84.566580000000002</v>
      </c>
      <c r="F583" s="159">
        <f t="shared" si="125"/>
        <v>32.939680000000003</v>
      </c>
      <c r="G583" s="160">
        <f t="shared" si="126"/>
        <v>51.626899999999999</v>
      </c>
      <c r="H583" s="166"/>
      <c r="I583" s="165"/>
      <c r="J583" s="160"/>
      <c r="K583" s="160"/>
      <c r="L583" s="166">
        <v>32.939680000000003</v>
      </c>
      <c r="M583" s="165">
        <v>51.626899999999999</v>
      </c>
      <c r="N583" s="165"/>
      <c r="O583" s="165"/>
      <c r="P583" s="160"/>
      <c r="Q583" s="166"/>
      <c r="R583" s="165"/>
      <c r="S583" s="165"/>
      <c r="T583" s="159"/>
      <c r="U583" s="160"/>
      <c r="V583" s="165"/>
      <c r="W583" s="165"/>
      <c r="X583" s="160"/>
      <c r="Y583" s="166"/>
      <c r="Z583" s="160"/>
      <c r="AA583" s="160"/>
      <c r="AB583" s="165"/>
      <c r="AC583" s="165"/>
      <c r="AD583" s="165"/>
      <c r="AE583" s="165"/>
      <c r="AF583" s="160"/>
      <c r="AG583" s="160"/>
      <c r="AH583" s="160"/>
      <c r="AI583" s="160"/>
      <c r="AJ583" s="161"/>
      <c r="AK583" s="162"/>
      <c r="AL583" s="165"/>
      <c r="AM583" s="166"/>
      <c r="AN583" s="165"/>
      <c r="AO583" s="160"/>
      <c r="AP583" s="162"/>
      <c r="AQ583" s="161"/>
      <c r="AR583" s="162"/>
      <c r="AS583" s="161"/>
      <c r="AT583" s="165"/>
      <c r="AU583" s="166"/>
      <c r="AV583" s="165"/>
      <c r="AW583" s="166"/>
      <c r="AX583" s="165"/>
      <c r="AY583" s="165"/>
      <c r="AZ583" s="165"/>
      <c r="BA583" s="165"/>
      <c r="BB583" s="166"/>
      <c r="BC583" s="165"/>
      <c r="BD583" s="165"/>
      <c r="BE583" s="165"/>
      <c r="BF583" s="165"/>
      <c r="BG583" s="165"/>
      <c r="BH583" s="165"/>
      <c r="BI583" s="165"/>
      <c r="BJ583" s="166"/>
      <c r="BK583" s="165"/>
      <c r="BL583" s="165"/>
      <c r="BM583" s="163"/>
      <c r="BN583" s="165"/>
      <c r="BO583" s="165"/>
      <c r="BP583" s="165"/>
      <c r="BQ583" s="167"/>
    </row>
    <row r="584" spans="1:69" ht="39.950000000000003" customHeight="1" outlineLevel="1" x14ac:dyDescent="0.3">
      <c r="A584" s="17" t="s">
        <v>741</v>
      </c>
      <c r="B584" s="12" t="s">
        <v>1290</v>
      </c>
      <c r="C584" s="9" t="s">
        <v>30</v>
      </c>
      <c r="D584" s="66" t="s">
        <v>772</v>
      </c>
      <c r="E584" s="158">
        <f t="shared" si="124"/>
        <v>206.38813999999999</v>
      </c>
      <c r="F584" s="159">
        <f t="shared" si="125"/>
        <v>99.596859999999992</v>
      </c>
      <c r="G584" s="160">
        <f t="shared" si="126"/>
        <v>106.79128</v>
      </c>
      <c r="H584" s="166"/>
      <c r="I584" s="165"/>
      <c r="J584" s="160"/>
      <c r="K584" s="160"/>
      <c r="L584" s="166">
        <v>53.398260000000001</v>
      </c>
      <c r="M584" s="165">
        <v>83.691980000000001</v>
      </c>
      <c r="N584" s="165"/>
      <c r="O584" s="165"/>
      <c r="P584" s="160"/>
      <c r="Q584" s="166"/>
      <c r="R584" s="165"/>
      <c r="S584" s="165"/>
      <c r="T584" s="159"/>
      <c r="U584" s="160"/>
      <c r="V584" s="165"/>
      <c r="W584" s="165"/>
      <c r="X584" s="160"/>
      <c r="Y584" s="166"/>
      <c r="Z584" s="160"/>
      <c r="AA584" s="160"/>
      <c r="AB584" s="165"/>
      <c r="AC584" s="165"/>
      <c r="AD584" s="165"/>
      <c r="AE584" s="165"/>
      <c r="AF584" s="160"/>
      <c r="AG584" s="160"/>
      <c r="AH584" s="160"/>
      <c r="AI584" s="160"/>
      <c r="AJ584" s="161"/>
      <c r="AK584" s="162"/>
      <c r="AL584" s="165"/>
      <c r="AM584" s="166"/>
      <c r="AN584" s="165"/>
      <c r="AO584" s="160"/>
      <c r="AP584" s="162"/>
      <c r="AQ584" s="161"/>
      <c r="AR584" s="162"/>
      <c r="AS584" s="161"/>
      <c r="AT584" s="165"/>
      <c r="AU584" s="166"/>
      <c r="AV584" s="165"/>
      <c r="AW584" s="166">
        <v>46.198599999999999</v>
      </c>
      <c r="AX584" s="165">
        <f>9.29971+13.79959</f>
        <v>23.099299999999999</v>
      </c>
      <c r="AY584" s="165"/>
      <c r="AZ584" s="165"/>
      <c r="BA584" s="165"/>
      <c r="BB584" s="166"/>
      <c r="BC584" s="165"/>
      <c r="BD584" s="165"/>
      <c r="BE584" s="165"/>
      <c r="BF584" s="165"/>
      <c r="BG584" s="165"/>
      <c r="BH584" s="165"/>
      <c r="BI584" s="165"/>
      <c r="BJ584" s="166"/>
      <c r="BK584" s="165"/>
      <c r="BL584" s="165"/>
      <c r="BM584" s="163"/>
      <c r="BN584" s="165"/>
      <c r="BO584" s="165"/>
      <c r="BP584" s="165"/>
      <c r="BQ584" s="167"/>
    </row>
    <row r="585" spans="1:69" ht="39.950000000000003" customHeight="1" outlineLevel="1" x14ac:dyDescent="0.3">
      <c r="A585" s="15" t="s">
        <v>741</v>
      </c>
      <c r="B585" s="14" t="s">
        <v>1131</v>
      </c>
      <c r="C585" s="9" t="s">
        <v>30</v>
      </c>
      <c r="D585" s="66" t="s">
        <v>1132</v>
      </c>
      <c r="E585" s="158">
        <f t="shared" si="124"/>
        <v>427.22723000000002</v>
      </c>
      <c r="F585" s="159">
        <f t="shared" si="125"/>
        <v>166.41003000000001</v>
      </c>
      <c r="G585" s="160">
        <f t="shared" si="126"/>
        <v>260.81720000000001</v>
      </c>
      <c r="H585" s="166"/>
      <c r="I585" s="165"/>
      <c r="J585" s="160"/>
      <c r="K585" s="160"/>
      <c r="L585" s="166">
        <v>166.41003000000001</v>
      </c>
      <c r="M585" s="165">
        <v>260.81720000000001</v>
      </c>
      <c r="N585" s="165"/>
      <c r="O585" s="165"/>
      <c r="P585" s="160"/>
      <c r="Q585" s="166"/>
      <c r="R585" s="165"/>
      <c r="S585" s="165"/>
      <c r="T585" s="159"/>
      <c r="U585" s="160"/>
      <c r="V585" s="165"/>
      <c r="W585" s="165"/>
      <c r="X585" s="160"/>
      <c r="Y585" s="166"/>
      <c r="Z585" s="160"/>
      <c r="AA585" s="165"/>
      <c r="AB585" s="165"/>
      <c r="AC585" s="165"/>
      <c r="AD585" s="165"/>
      <c r="AE585" s="165"/>
      <c r="AF585" s="160"/>
      <c r="AG585" s="160"/>
      <c r="AH585" s="160"/>
      <c r="AI585" s="160"/>
      <c r="AJ585" s="161"/>
      <c r="AK585" s="162"/>
      <c r="AL585" s="165"/>
      <c r="AM585" s="166"/>
      <c r="AN585" s="165"/>
      <c r="AO585" s="160"/>
      <c r="AP585" s="162"/>
      <c r="AQ585" s="161"/>
      <c r="AR585" s="162"/>
      <c r="AS585" s="161"/>
      <c r="AT585" s="165"/>
      <c r="AU585" s="166"/>
      <c r="AV585" s="165"/>
      <c r="AW585" s="166"/>
      <c r="AX585" s="165"/>
      <c r="AY585" s="165"/>
      <c r="AZ585" s="165"/>
      <c r="BA585" s="165"/>
      <c r="BB585" s="166"/>
      <c r="BC585" s="165"/>
      <c r="BD585" s="165"/>
      <c r="BE585" s="165"/>
      <c r="BF585" s="165"/>
      <c r="BG585" s="165"/>
      <c r="BH585" s="165"/>
      <c r="BI585" s="165"/>
      <c r="BJ585" s="166"/>
      <c r="BK585" s="165"/>
      <c r="BL585" s="165"/>
      <c r="BM585" s="163"/>
      <c r="BN585" s="165"/>
      <c r="BO585" s="165"/>
      <c r="BP585" s="165"/>
      <c r="BQ585" s="167"/>
    </row>
    <row r="586" spans="1:69" ht="39.950000000000003" customHeight="1" outlineLevel="1" x14ac:dyDescent="0.3">
      <c r="A586" s="15" t="s">
        <v>741</v>
      </c>
      <c r="B586" s="14" t="s">
        <v>773</v>
      </c>
      <c r="C586" s="9" t="s">
        <v>30</v>
      </c>
      <c r="D586" s="66" t="s">
        <v>774</v>
      </c>
      <c r="E586" s="158">
        <f t="shared" si="124"/>
        <v>366.08</v>
      </c>
      <c r="F586" s="159">
        <f t="shared" si="125"/>
        <v>0</v>
      </c>
      <c r="G586" s="160">
        <f t="shared" si="126"/>
        <v>366.08</v>
      </c>
      <c r="H586" s="166"/>
      <c r="I586" s="165"/>
      <c r="J586" s="160"/>
      <c r="K586" s="160"/>
      <c r="L586" s="166"/>
      <c r="M586" s="165"/>
      <c r="N586" s="165"/>
      <c r="O586" s="165"/>
      <c r="P586" s="160"/>
      <c r="Q586" s="166"/>
      <c r="R586" s="165"/>
      <c r="S586" s="165"/>
      <c r="T586" s="159"/>
      <c r="U586" s="160"/>
      <c r="V586" s="165"/>
      <c r="W586" s="165">
        <v>366.08</v>
      </c>
      <c r="X586" s="160"/>
      <c r="Y586" s="166"/>
      <c r="Z586" s="160"/>
      <c r="AA586" s="160"/>
      <c r="AB586" s="165"/>
      <c r="AC586" s="165"/>
      <c r="AD586" s="165"/>
      <c r="AE586" s="165"/>
      <c r="AF586" s="160"/>
      <c r="AG586" s="160"/>
      <c r="AH586" s="160"/>
      <c r="AI586" s="160"/>
      <c r="AJ586" s="161"/>
      <c r="AK586" s="162"/>
      <c r="AL586" s="165"/>
      <c r="AM586" s="166"/>
      <c r="AN586" s="165"/>
      <c r="AO586" s="160"/>
      <c r="AP586" s="162"/>
      <c r="AQ586" s="161"/>
      <c r="AR586" s="162"/>
      <c r="AS586" s="161"/>
      <c r="AT586" s="165"/>
      <c r="AU586" s="166"/>
      <c r="AV586" s="165"/>
      <c r="AW586" s="166"/>
      <c r="AX586" s="165"/>
      <c r="AY586" s="165"/>
      <c r="AZ586" s="165"/>
      <c r="BA586" s="165"/>
      <c r="BB586" s="166"/>
      <c r="BC586" s="165"/>
      <c r="BD586" s="165"/>
      <c r="BE586" s="165"/>
      <c r="BF586" s="165"/>
      <c r="BG586" s="165"/>
      <c r="BH586" s="165"/>
      <c r="BI586" s="165"/>
      <c r="BJ586" s="166"/>
      <c r="BK586" s="165"/>
      <c r="BL586" s="165"/>
      <c r="BM586" s="163"/>
      <c r="BN586" s="165"/>
      <c r="BO586" s="165"/>
      <c r="BP586" s="165"/>
      <c r="BQ586" s="167"/>
    </row>
    <row r="587" spans="1:69" ht="39.950000000000003" customHeight="1" outlineLevel="1" x14ac:dyDescent="0.3">
      <c r="A587" s="15" t="s">
        <v>741</v>
      </c>
      <c r="B587" s="14" t="s">
        <v>775</v>
      </c>
      <c r="C587" s="9" t="s">
        <v>30</v>
      </c>
      <c r="D587" s="66" t="s">
        <v>776</v>
      </c>
      <c r="E587" s="158">
        <f t="shared" si="124"/>
        <v>196.92651999999998</v>
      </c>
      <c r="F587" s="159">
        <f t="shared" si="125"/>
        <v>111.23817</v>
      </c>
      <c r="G587" s="160">
        <f t="shared" si="126"/>
        <v>85.68835</v>
      </c>
      <c r="H587" s="166">
        <v>71.846249999999998</v>
      </c>
      <c r="I587" s="165">
        <v>23.94875</v>
      </c>
      <c r="J587" s="160"/>
      <c r="K587" s="160"/>
      <c r="L587" s="166">
        <v>39.391919999999999</v>
      </c>
      <c r="M587" s="165">
        <v>61.739600000000003</v>
      </c>
      <c r="N587" s="165"/>
      <c r="O587" s="165"/>
      <c r="P587" s="160"/>
      <c r="Q587" s="166"/>
      <c r="R587" s="165"/>
      <c r="S587" s="165"/>
      <c r="T587" s="159"/>
      <c r="U587" s="160"/>
      <c r="V587" s="165"/>
      <c r="W587" s="165"/>
      <c r="X587" s="160"/>
      <c r="Y587" s="166"/>
      <c r="Z587" s="160"/>
      <c r="AA587" s="160"/>
      <c r="AB587" s="165"/>
      <c r="AC587" s="165"/>
      <c r="AD587" s="165"/>
      <c r="AE587" s="165"/>
      <c r="AF587" s="160"/>
      <c r="AG587" s="160"/>
      <c r="AH587" s="160"/>
      <c r="AI587" s="160"/>
      <c r="AJ587" s="161"/>
      <c r="AK587" s="162"/>
      <c r="AL587" s="165"/>
      <c r="AM587" s="166"/>
      <c r="AN587" s="165"/>
      <c r="AO587" s="160"/>
      <c r="AP587" s="162"/>
      <c r="AQ587" s="161"/>
      <c r="AR587" s="162"/>
      <c r="AS587" s="161"/>
      <c r="AT587" s="165"/>
      <c r="AU587" s="166"/>
      <c r="AV587" s="165"/>
      <c r="AW587" s="166"/>
      <c r="AX587" s="165"/>
      <c r="AY587" s="165"/>
      <c r="AZ587" s="165"/>
      <c r="BA587" s="165"/>
      <c r="BB587" s="166"/>
      <c r="BC587" s="165"/>
      <c r="BD587" s="165"/>
      <c r="BE587" s="165"/>
      <c r="BF587" s="165"/>
      <c r="BG587" s="165"/>
      <c r="BH587" s="165"/>
      <c r="BI587" s="165"/>
      <c r="BJ587" s="166"/>
      <c r="BK587" s="165"/>
      <c r="BL587" s="165"/>
      <c r="BM587" s="163"/>
      <c r="BN587" s="165"/>
      <c r="BO587" s="165"/>
      <c r="BP587" s="165"/>
      <c r="BQ587" s="167"/>
    </row>
    <row r="588" spans="1:69" ht="39.950000000000003" customHeight="1" outlineLevel="1" x14ac:dyDescent="0.3">
      <c r="A588" s="15" t="s">
        <v>741</v>
      </c>
      <c r="B588" s="14" t="s">
        <v>777</v>
      </c>
      <c r="C588" s="9" t="s">
        <v>30</v>
      </c>
      <c r="D588" s="66" t="s">
        <v>778</v>
      </c>
      <c r="E588" s="158">
        <f t="shared" si="124"/>
        <v>505.88407999999998</v>
      </c>
      <c r="F588" s="159">
        <f t="shared" si="125"/>
        <v>74.81819999999999</v>
      </c>
      <c r="G588" s="160">
        <f t="shared" si="126"/>
        <v>431.06587999999999</v>
      </c>
      <c r="H588" s="166"/>
      <c r="I588" s="165"/>
      <c r="J588" s="160"/>
      <c r="K588" s="160"/>
      <c r="L588" s="166">
        <v>68.631829999999994</v>
      </c>
      <c r="M588" s="165">
        <v>107.56780000000001</v>
      </c>
      <c r="N588" s="165"/>
      <c r="O588" s="165"/>
      <c r="P588" s="160"/>
      <c r="Q588" s="166"/>
      <c r="R588" s="165"/>
      <c r="S588" s="165"/>
      <c r="T588" s="159"/>
      <c r="U588" s="160"/>
      <c r="V588" s="165"/>
      <c r="W588" s="165"/>
      <c r="X588" s="160"/>
      <c r="Y588" s="166"/>
      <c r="Z588" s="160"/>
      <c r="AA588" s="160"/>
      <c r="AB588" s="165"/>
      <c r="AC588" s="165"/>
      <c r="AD588" s="165"/>
      <c r="AE588" s="165"/>
      <c r="AF588" s="160"/>
      <c r="AG588" s="160">
        <v>1.58168</v>
      </c>
      <c r="AH588" s="160"/>
      <c r="AI588" s="160"/>
      <c r="AJ588" s="161"/>
      <c r="AK588" s="162"/>
      <c r="AL588" s="165"/>
      <c r="AM588" s="166"/>
      <c r="AN588" s="165"/>
      <c r="AO588" s="160"/>
      <c r="AP588" s="162"/>
      <c r="AQ588" s="161"/>
      <c r="AR588" s="162"/>
      <c r="AS588" s="161"/>
      <c r="AT588" s="165"/>
      <c r="AU588" s="166"/>
      <c r="AV588" s="165"/>
      <c r="AW588" s="166">
        <v>6.1863700000000001</v>
      </c>
      <c r="AX588" s="165">
        <v>1.8478699999999999</v>
      </c>
      <c r="AY588" s="165"/>
      <c r="AZ588" s="165"/>
      <c r="BA588" s="165"/>
      <c r="BB588" s="166"/>
      <c r="BC588" s="165"/>
      <c r="BD588" s="165"/>
      <c r="BE588" s="165"/>
      <c r="BF588" s="165">
        <v>320.06853000000001</v>
      </c>
      <c r="BG588" s="165"/>
      <c r="BH588" s="165"/>
      <c r="BI588" s="165"/>
      <c r="BJ588" s="166"/>
      <c r="BK588" s="165"/>
      <c r="BL588" s="165"/>
      <c r="BM588" s="163"/>
      <c r="BN588" s="165"/>
      <c r="BO588" s="165"/>
      <c r="BP588" s="165"/>
      <c r="BQ588" s="167"/>
    </row>
    <row r="589" spans="1:69" ht="39.950000000000003" customHeight="1" outlineLevel="1" x14ac:dyDescent="0.3">
      <c r="A589" s="15" t="s">
        <v>741</v>
      </c>
      <c r="B589" s="14" t="s">
        <v>779</v>
      </c>
      <c r="C589" s="9" t="s">
        <v>30</v>
      </c>
      <c r="D589" s="66" t="s">
        <v>780</v>
      </c>
      <c r="E589" s="158">
        <f t="shared" si="124"/>
        <v>2271.4850999999999</v>
      </c>
      <c r="F589" s="159">
        <f t="shared" si="125"/>
        <v>44.593290000000003</v>
      </c>
      <c r="G589" s="160">
        <f t="shared" si="126"/>
        <v>2226.8918100000001</v>
      </c>
      <c r="H589" s="166"/>
      <c r="I589" s="165"/>
      <c r="J589" s="160"/>
      <c r="K589" s="160"/>
      <c r="L589" s="166">
        <v>44.593290000000003</v>
      </c>
      <c r="M589" s="165">
        <v>69.891810000000007</v>
      </c>
      <c r="N589" s="165"/>
      <c r="O589" s="165"/>
      <c r="P589" s="160"/>
      <c r="Q589" s="166"/>
      <c r="R589" s="165"/>
      <c r="S589" s="165"/>
      <c r="T589" s="159"/>
      <c r="U589" s="160"/>
      <c r="V589" s="165"/>
      <c r="W589" s="165"/>
      <c r="X589" s="160"/>
      <c r="Y589" s="166"/>
      <c r="Z589" s="160"/>
      <c r="AA589" s="160"/>
      <c r="AB589" s="165"/>
      <c r="AC589" s="165"/>
      <c r="AD589" s="165"/>
      <c r="AE589" s="165"/>
      <c r="AF589" s="160"/>
      <c r="AG589" s="160"/>
      <c r="AH589" s="160"/>
      <c r="AI589" s="160"/>
      <c r="AJ589" s="161"/>
      <c r="AK589" s="162"/>
      <c r="AL589" s="165"/>
      <c r="AM589" s="166"/>
      <c r="AN589" s="165"/>
      <c r="AO589" s="160"/>
      <c r="AP589" s="162"/>
      <c r="AQ589" s="161"/>
      <c r="AR589" s="162"/>
      <c r="AS589" s="161"/>
      <c r="AT589" s="165"/>
      <c r="AU589" s="166"/>
      <c r="AV589" s="165"/>
      <c r="AW589" s="166"/>
      <c r="AX589" s="165"/>
      <c r="AY589" s="165"/>
      <c r="AZ589" s="165"/>
      <c r="BA589" s="165"/>
      <c r="BB589" s="166"/>
      <c r="BC589" s="165"/>
      <c r="BD589" s="165"/>
      <c r="BE589" s="165"/>
      <c r="BF589" s="165"/>
      <c r="BG589" s="165"/>
      <c r="BH589" s="165">
        <v>2157</v>
      </c>
      <c r="BI589" s="165"/>
      <c r="BJ589" s="166"/>
      <c r="BK589" s="165"/>
      <c r="BL589" s="165"/>
      <c r="BM589" s="163"/>
      <c r="BN589" s="165"/>
      <c r="BO589" s="165"/>
      <c r="BP589" s="165"/>
      <c r="BQ589" s="167"/>
    </row>
    <row r="590" spans="1:69" ht="39.950000000000003" customHeight="1" outlineLevel="1" x14ac:dyDescent="0.3">
      <c r="A590" s="15" t="s">
        <v>741</v>
      </c>
      <c r="B590" s="14" t="s">
        <v>781</v>
      </c>
      <c r="C590" s="9" t="s">
        <v>30</v>
      </c>
      <c r="D590" s="66" t="s">
        <v>782</v>
      </c>
      <c r="E590" s="158">
        <f t="shared" si="124"/>
        <v>172.95434</v>
      </c>
      <c r="F590" s="159">
        <f t="shared" si="125"/>
        <v>67.367750000000001</v>
      </c>
      <c r="G590" s="160">
        <f t="shared" si="126"/>
        <v>105.58659</v>
      </c>
      <c r="H590" s="166"/>
      <c r="I590" s="165"/>
      <c r="J590" s="160"/>
      <c r="K590" s="160"/>
      <c r="L590" s="166">
        <v>67.367750000000001</v>
      </c>
      <c r="M590" s="165">
        <v>105.58659</v>
      </c>
      <c r="N590" s="165"/>
      <c r="O590" s="165"/>
      <c r="P590" s="160"/>
      <c r="Q590" s="166"/>
      <c r="R590" s="165"/>
      <c r="S590" s="165"/>
      <c r="T590" s="159"/>
      <c r="U590" s="160"/>
      <c r="V590" s="165"/>
      <c r="W590" s="165"/>
      <c r="X590" s="160"/>
      <c r="Y590" s="166"/>
      <c r="Z590" s="160"/>
      <c r="AA590" s="160"/>
      <c r="AB590" s="165"/>
      <c r="AC590" s="165"/>
      <c r="AD590" s="165"/>
      <c r="AE590" s="165"/>
      <c r="AF590" s="160"/>
      <c r="AG590" s="160"/>
      <c r="AH590" s="160"/>
      <c r="AI590" s="160"/>
      <c r="AJ590" s="161"/>
      <c r="AK590" s="162"/>
      <c r="AL590" s="165"/>
      <c r="AM590" s="166"/>
      <c r="AN590" s="165"/>
      <c r="AO590" s="160"/>
      <c r="AP590" s="162"/>
      <c r="AQ590" s="161"/>
      <c r="AR590" s="162"/>
      <c r="AS590" s="161"/>
      <c r="AT590" s="165"/>
      <c r="AU590" s="166"/>
      <c r="AV590" s="165"/>
      <c r="AW590" s="166"/>
      <c r="AX590" s="165"/>
      <c r="AY590" s="165"/>
      <c r="AZ590" s="165"/>
      <c r="BA590" s="165"/>
      <c r="BB590" s="166"/>
      <c r="BC590" s="165"/>
      <c r="BD590" s="165"/>
      <c r="BE590" s="165"/>
      <c r="BF590" s="165"/>
      <c r="BG590" s="165"/>
      <c r="BH590" s="165"/>
      <c r="BI590" s="165"/>
      <c r="BJ590" s="166"/>
      <c r="BK590" s="165"/>
      <c r="BL590" s="165"/>
      <c r="BM590" s="163"/>
      <c r="BN590" s="165"/>
      <c r="BO590" s="165"/>
      <c r="BP590" s="165"/>
      <c r="BQ590" s="167"/>
    </row>
    <row r="591" spans="1:69" ht="39.950000000000003" customHeight="1" outlineLevel="1" x14ac:dyDescent="0.3">
      <c r="A591" s="15" t="s">
        <v>741</v>
      </c>
      <c r="B591" s="14" t="s">
        <v>783</v>
      </c>
      <c r="C591" s="9" t="s">
        <v>30</v>
      </c>
      <c r="D591" s="66" t="s">
        <v>784</v>
      </c>
      <c r="E591" s="158">
        <f t="shared" si="124"/>
        <v>240.74956</v>
      </c>
      <c r="F591" s="159">
        <f t="shared" si="125"/>
        <v>119.48474999999999</v>
      </c>
      <c r="G591" s="160">
        <f t="shared" si="126"/>
        <v>121.26481000000001</v>
      </c>
      <c r="H591" s="166"/>
      <c r="I591" s="165"/>
      <c r="J591" s="160"/>
      <c r="K591" s="160"/>
      <c r="L591" s="166">
        <v>67.455079999999995</v>
      </c>
      <c r="M591" s="165">
        <v>105.72347000000001</v>
      </c>
      <c r="N591" s="165"/>
      <c r="O591" s="165"/>
      <c r="P591" s="160"/>
      <c r="Q591" s="166"/>
      <c r="R591" s="165"/>
      <c r="S591" s="165"/>
      <c r="T591" s="159"/>
      <c r="U591" s="160"/>
      <c r="V591" s="165"/>
      <c r="W591" s="165"/>
      <c r="X591" s="160"/>
      <c r="Y591" s="166"/>
      <c r="Z591" s="160"/>
      <c r="AA591" s="160"/>
      <c r="AB591" s="165"/>
      <c r="AC591" s="165"/>
      <c r="AD591" s="165"/>
      <c r="AE591" s="165"/>
      <c r="AF591" s="160"/>
      <c r="AG591" s="160"/>
      <c r="AH591" s="160"/>
      <c r="AI591" s="160"/>
      <c r="AJ591" s="161"/>
      <c r="AK591" s="162"/>
      <c r="AL591" s="165"/>
      <c r="AM591" s="166"/>
      <c r="AN591" s="165"/>
      <c r="AO591" s="160"/>
      <c r="AP591" s="162"/>
      <c r="AQ591" s="161"/>
      <c r="AR591" s="162"/>
      <c r="AS591" s="161"/>
      <c r="AT591" s="165"/>
      <c r="AU591" s="166"/>
      <c r="AV591" s="165"/>
      <c r="AW591" s="166">
        <v>52.029670000000003</v>
      </c>
      <c r="AX591" s="165">
        <v>15.54134</v>
      </c>
      <c r="AY591" s="165"/>
      <c r="AZ591" s="165"/>
      <c r="BA591" s="165"/>
      <c r="BB591" s="166"/>
      <c r="BC591" s="165"/>
      <c r="BD591" s="165"/>
      <c r="BE591" s="165"/>
      <c r="BF591" s="165"/>
      <c r="BG591" s="165"/>
      <c r="BH591" s="165"/>
      <c r="BI591" s="165"/>
      <c r="BJ591" s="166"/>
      <c r="BK591" s="165"/>
      <c r="BL591" s="165"/>
      <c r="BM591" s="163"/>
      <c r="BN591" s="165"/>
      <c r="BO591" s="165"/>
      <c r="BP591" s="165"/>
      <c r="BQ591" s="167"/>
    </row>
    <row r="592" spans="1:69" ht="39.950000000000003" customHeight="1" outlineLevel="1" x14ac:dyDescent="0.3">
      <c r="A592" s="15" t="s">
        <v>741</v>
      </c>
      <c r="B592" s="14" t="s">
        <v>785</v>
      </c>
      <c r="C592" s="9" t="s">
        <v>30</v>
      </c>
      <c r="D592" s="66" t="s">
        <v>786</v>
      </c>
      <c r="E592" s="158">
        <f t="shared" si="124"/>
        <v>4155.4473900000003</v>
      </c>
      <c r="F592" s="159">
        <f t="shared" si="125"/>
        <v>486.87144000000001</v>
      </c>
      <c r="G592" s="160">
        <f t="shared" si="126"/>
        <v>3668.5759499999999</v>
      </c>
      <c r="H592" s="166"/>
      <c r="I592" s="165"/>
      <c r="J592" s="160"/>
      <c r="K592" s="160"/>
      <c r="L592" s="166">
        <v>412.37626</v>
      </c>
      <c r="M592" s="165">
        <v>646.32414000000006</v>
      </c>
      <c r="N592" s="165"/>
      <c r="O592" s="165"/>
      <c r="P592" s="160"/>
      <c r="Q592" s="166"/>
      <c r="R592" s="165"/>
      <c r="S592" s="165"/>
      <c r="T592" s="159"/>
      <c r="U592" s="160"/>
      <c r="V592" s="165"/>
      <c r="W592" s="165"/>
      <c r="X592" s="160"/>
      <c r="Y592" s="166"/>
      <c r="Z592" s="160"/>
      <c r="AA592" s="160"/>
      <c r="AB592" s="165"/>
      <c r="AC592" s="165"/>
      <c r="AD592" s="165"/>
      <c r="AE592" s="165"/>
      <c r="AF592" s="160"/>
      <c r="AG592" s="160"/>
      <c r="AH592" s="160"/>
      <c r="AI592" s="160"/>
      <c r="AJ592" s="161"/>
      <c r="AK592" s="162"/>
      <c r="AL592" s="165"/>
      <c r="AM592" s="166"/>
      <c r="AN592" s="165"/>
      <c r="AO592" s="160"/>
      <c r="AP592" s="162"/>
      <c r="AQ592" s="161"/>
      <c r="AR592" s="162"/>
      <c r="AS592" s="161"/>
      <c r="AT592" s="165"/>
      <c r="AU592" s="166"/>
      <c r="AV592" s="165"/>
      <c r="AW592" s="166">
        <v>74.495180000000005</v>
      </c>
      <c r="AX592" s="165">
        <v>22.251809999999999</v>
      </c>
      <c r="AY592" s="165"/>
      <c r="AZ592" s="165"/>
      <c r="BA592" s="165"/>
      <c r="BB592" s="166"/>
      <c r="BC592" s="165"/>
      <c r="BD592" s="165"/>
      <c r="BE592" s="165"/>
      <c r="BF592" s="165"/>
      <c r="BG592" s="165"/>
      <c r="BH592" s="165">
        <v>3000</v>
      </c>
      <c r="BI592" s="165"/>
      <c r="BJ592" s="166"/>
      <c r="BK592" s="165"/>
      <c r="BL592" s="165"/>
      <c r="BM592" s="163"/>
      <c r="BN592" s="165"/>
      <c r="BO592" s="165"/>
      <c r="BP592" s="165"/>
      <c r="BQ592" s="167"/>
    </row>
    <row r="593" spans="1:69" ht="39.950000000000003" customHeight="1" outlineLevel="1" x14ac:dyDescent="0.3">
      <c r="A593" s="15" t="s">
        <v>741</v>
      </c>
      <c r="B593" s="14" t="s">
        <v>787</v>
      </c>
      <c r="C593" s="9" t="s">
        <v>30</v>
      </c>
      <c r="D593" s="66" t="s">
        <v>788</v>
      </c>
      <c r="E593" s="158">
        <f t="shared" si="124"/>
        <v>166.11617000000001</v>
      </c>
      <c r="F593" s="159">
        <f t="shared" si="125"/>
        <v>90.797839999999994</v>
      </c>
      <c r="G593" s="160">
        <f t="shared" si="126"/>
        <v>75.318330000000003</v>
      </c>
      <c r="H593" s="166"/>
      <c r="I593" s="165"/>
      <c r="J593" s="160"/>
      <c r="K593" s="160"/>
      <c r="L593" s="166">
        <v>37.991729999999997</v>
      </c>
      <c r="M593" s="165">
        <v>59.545079999999999</v>
      </c>
      <c r="N593" s="165"/>
      <c r="O593" s="165"/>
      <c r="P593" s="160"/>
      <c r="Q593" s="166"/>
      <c r="R593" s="165"/>
      <c r="S593" s="165"/>
      <c r="T593" s="159"/>
      <c r="U593" s="160"/>
      <c r="V593" s="165"/>
      <c r="W593" s="165"/>
      <c r="X593" s="160"/>
      <c r="Y593" s="166"/>
      <c r="Z593" s="160"/>
      <c r="AA593" s="160"/>
      <c r="AB593" s="165"/>
      <c r="AC593" s="165"/>
      <c r="AD593" s="165"/>
      <c r="AE593" s="165"/>
      <c r="AF593" s="160"/>
      <c r="AG593" s="160"/>
      <c r="AH593" s="160"/>
      <c r="AI593" s="160"/>
      <c r="AJ593" s="161"/>
      <c r="AK593" s="162"/>
      <c r="AL593" s="165"/>
      <c r="AM593" s="166"/>
      <c r="AN593" s="165"/>
      <c r="AO593" s="160"/>
      <c r="AP593" s="162"/>
      <c r="AQ593" s="161"/>
      <c r="AR593" s="162"/>
      <c r="AS593" s="161"/>
      <c r="AT593" s="165"/>
      <c r="AU593" s="166"/>
      <c r="AV593" s="165"/>
      <c r="AW593" s="166">
        <v>52.806109999999997</v>
      </c>
      <c r="AX593" s="165">
        <v>15.773250000000001</v>
      </c>
      <c r="AY593" s="165"/>
      <c r="AZ593" s="165"/>
      <c r="BA593" s="165"/>
      <c r="BB593" s="166"/>
      <c r="BC593" s="165"/>
      <c r="BD593" s="165"/>
      <c r="BE593" s="165"/>
      <c r="BF593" s="165"/>
      <c r="BG593" s="165"/>
      <c r="BH593" s="165"/>
      <c r="BI593" s="165"/>
      <c r="BJ593" s="166"/>
      <c r="BK593" s="165"/>
      <c r="BL593" s="165"/>
      <c r="BM593" s="163"/>
      <c r="BN593" s="165"/>
      <c r="BO593" s="165"/>
      <c r="BP593" s="165"/>
      <c r="BQ593" s="167"/>
    </row>
    <row r="594" spans="1:69" ht="39.950000000000003" customHeight="1" outlineLevel="1" x14ac:dyDescent="0.3">
      <c r="A594" s="15" t="s">
        <v>741</v>
      </c>
      <c r="B594" s="14" t="s">
        <v>1405</v>
      </c>
      <c r="C594" s="9" t="s">
        <v>30</v>
      </c>
      <c r="D594" s="66">
        <v>242900331000</v>
      </c>
      <c r="E594" s="158">
        <f t="shared" si="124"/>
        <v>2999.7</v>
      </c>
      <c r="F594" s="159">
        <f t="shared" si="125"/>
        <v>0</v>
      </c>
      <c r="G594" s="160">
        <f t="shared" si="126"/>
        <v>2999.7</v>
      </c>
      <c r="H594" s="166"/>
      <c r="I594" s="165"/>
      <c r="J594" s="160"/>
      <c r="K594" s="160"/>
      <c r="L594" s="166"/>
      <c r="M594" s="165"/>
      <c r="N594" s="165"/>
      <c r="O594" s="165"/>
      <c r="P594" s="160"/>
      <c r="Q594" s="166"/>
      <c r="R594" s="165"/>
      <c r="S594" s="165"/>
      <c r="T594" s="159"/>
      <c r="U594" s="160"/>
      <c r="V594" s="165"/>
      <c r="W594" s="165"/>
      <c r="X594" s="160"/>
      <c r="Y594" s="166"/>
      <c r="Z594" s="160"/>
      <c r="AA594" s="160"/>
      <c r="AB594" s="165"/>
      <c r="AC594" s="165"/>
      <c r="AD594" s="165"/>
      <c r="AE594" s="165"/>
      <c r="AF594" s="160"/>
      <c r="AG594" s="160"/>
      <c r="AH594" s="160"/>
      <c r="AI594" s="160"/>
      <c r="AJ594" s="161">
        <v>2999.7</v>
      </c>
      <c r="AK594" s="162"/>
      <c r="AL594" s="165"/>
      <c r="AM594" s="166"/>
      <c r="AN594" s="165"/>
      <c r="AO594" s="160"/>
      <c r="AP594" s="162"/>
      <c r="AQ594" s="161"/>
      <c r="AR594" s="162"/>
      <c r="AS594" s="161"/>
      <c r="AT594" s="165"/>
      <c r="AU594" s="166"/>
      <c r="AV594" s="165"/>
      <c r="AW594" s="166"/>
      <c r="AX594" s="165"/>
      <c r="AY594" s="165"/>
      <c r="AZ594" s="165"/>
      <c r="BA594" s="165"/>
      <c r="BB594" s="166"/>
      <c r="BC594" s="165"/>
      <c r="BD594" s="165"/>
      <c r="BE594" s="165"/>
      <c r="BF594" s="165"/>
      <c r="BG594" s="165"/>
      <c r="BH594" s="165"/>
      <c r="BI594" s="165"/>
      <c r="BJ594" s="166"/>
      <c r="BK594" s="165"/>
      <c r="BL594" s="165"/>
      <c r="BM594" s="163"/>
      <c r="BN594" s="165"/>
      <c r="BO594" s="165"/>
      <c r="BP594" s="165"/>
      <c r="BQ594" s="167"/>
    </row>
    <row r="595" spans="1:69" ht="39.950000000000003" customHeight="1" outlineLevel="1" x14ac:dyDescent="0.3">
      <c r="A595" s="15" t="s">
        <v>741</v>
      </c>
      <c r="B595" s="14" t="s">
        <v>1457</v>
      </c>
      <c r="C595" s="9" t="s">
        <v>30</v>
      </c>
      <c r="D595" s="66">
        <v>246411828106</v>
      </c>
      <c r="E595" s="158">
        <f t="shared" si="124"/>
        <v>2999.7</v>
      </c>
      <c r="F595" s="159">
        <f t="shared" si="125"/>
        <v>0</v>
      </c>
      <c r="G595" s="160">
        <f t="shared" si="126"/>
        <v>2999.7</v>
      </c>
      <c r="H595" s="166"/>
      <c r="I595" s="165"/>
      <c r="J595" s="160"/>
      <c r="K595" s="160"/>
      <c r="L595" s="166"/>
      <c r="M595" s="165"/>
      <c r="N595" s="165"/>
      <c r="O595" s="165"/>
      <c r="P595" s="160"/>
      <c r="Q595" s="166"/>
      <c r="R595" s="165"/>
      <c r="S595" s="165"/>
      <c r="T595" s="159"/>
      <c r="U595" s="160"/>
      <c r="V595" s="165"/>
      <c r="W595" s="165"/>
      <c r="X595" s="160"/>
      <c r="Y595" s="166"/>
      <c r="Z595" s="160"/>
      <c r="AA595" s="160"/>
      <c r="AB595" s="165"/>
      <c r="AC595" s="165"/>
      <c r="AD595" s="165"/>
      <c r="AE595" s="165"/>
      <c r="AF595" s="160"/>
      <c r="AG595" s="160"/>
      <c r="AH595" s="160"/>
      <c r="AI595" s="160"/>
      <c r="AJ595" s="161">
        <v>2999.7</v>
      </c>
      <c r="AK595" s="162"/>
      <c r="AL595" s="165"/>
      <c r="AM595" s="166"/>
      <c r="AN595" s="165"/>
      <c r="AO595" s="160"/>
      <c r="AP595" s="162"/>
      <c r="AQ595" s="161"/>
      <c r="AR595" s="162"/>
      <c r="AS595" s="161"/>
      <c r="AT595" s="165"/>
      <c r="AU595" s="166"/>
      <c r="AV595" s="165"/>
      <c r="AW595" s="166"/>
      <c r="AX595" s="165"/>
      <c r="AY595" s="165"/>
      <c r="AZ595" s="165"/>
      <c r="BA595" s="165"/>
      <c r="BB595" s="166"/>
      <c r="BC595" s="165"/>
      <c r="BD595" s="165"/>
      <c r="BE595" s="165"/>
      <c r="BF595" s="165"/>
      <c r="BG595" s="165"/>
      <c r="BH595" s="165"/>
      <c r="BI595" s="165"/>
      <c r="BJ595" s="166"/>
      <c r="BK595" s="165"/>
      <c r="BL595" s="165"/>
      <c r="BM595" s="163"/>
      <c r="BN595" s="165"/>
      <c r="BO595" s="165"/>
      <c r="BP595" s="165"/>
      <c r="BQ595" s="167"/>
    </row>
    <row r="596" spans="1:69" ht="39.950000000000003" customHeight="1" outlineLevel="1" x14ac:dyDescent="0.3">
      <c r="A596" s="15" t="s">
        <v>1275</v>
      </c>
      <c r="B596" s="14" t="s">
        <v>789</v>
      </c>
      <c r="C596" s="9" t="s">
        <v>30</v>
      </c>
      <c r="D596" s="66">
        <v>242900697886</v>
      </c>
      <c r="E596" s="158">
        <f t="shared" si="124"/>
        <v>268.51341000000002</v>
      </c>
      <c r="F596" s="159">
        <f t="shared" si="125"/>
        <v>136.45524</v>
      </c>
      <c r="G596" s="160">
        <f t="shared" si="126"/>
        <v>132.05817000000002</v>
      </c>
      <c r="H596" s="166">
        <v>26.685749999999999</v>
      </c>
      <c r="I596" s="165">
        <v>8.8952500000000008</v>
      </c>
      <c r="J596" s="182"/>
      <c r="K596" s="182"/>
      <c r="L596" s="183">
        <v>63.971809999999998</v>
      </c>
      <c r="M596" s="184">
        <v>100.26408000000001</v>
      </c>
      <c r="N596" s="184"/>
      <c r="O596" s="182"/>
      <c r="P596" s="160"/>
      <c r="Q596" s="185"/>
      <c r="R596" s="182"/>
      <c r="S596" s="182"/>
      <c r="T596" s="159"/>
      <c r="U596" s="160"/>
      <c r="V596" s="182"/>
      <c r="W596" s="182"/>
      <c r="X596" s="182"/>
      <c r="Y596" s="185"/>
      <c r="Z596" s="182"/>
      <c r="AA596" s="160"/>
      <c r="AB596" s="165"/>
      <c r="AC596" s="165"/>
      <c r="AD596" s="182"/>
      <c r="AE596" s="165"/>
      <c r="AF596" s="160"/>
      <c r="AG596" s="160"/>
      <c r="AH596" s="160"/>
      <c r="AI596" s="160"/>
      <c r="AJ596" s="161"/>
      <c r="AK596" s="162"/>
      <c r="AL596" s="165"/>
      <c r="AM596" s="166"/>
      <c r="AN596" s="165"/>
      <c r="AO596" s="160"/>
      <c r="AP596" s="162"/>
      <c r="AQ596" s="161"/>
      <c r="AR596" s="162"/>
      <c r="AS596" s="161"/>
      <c r="AT596" s="165"/>
      <c r="AU596" s="166"/>
      <c r="AV596" s="165"/>
      <c r="AW596" s="166">
        <v>45.79768</v>
      </c>
      <c r="AX596" s="165">
        <f>9.21901+13.67983</f>
        <v>22.89884</v>
      </c>
      <c r="AY596" s="165"/>
      <c r="AZ596" s="165"/>
      <c r="BA596" s="165"/>
      <c r="BB596" s="166"/>
      <c r="BC596" s="165"/>
      <c r="BD596" s="165"/>
      <c r="BE596" s="165"/>
      <c r="BF596" s="165"/>
      <c r="BG596" s="165"/>
      <c r="BH596" s="165"/>
      <c r="BI596" s="165"/>
      <c r="BJ596" s="166"/>
      <c r="BK596" s="165"/>
      <c r="BL596" s="165"/>
      <c r="BM596" s="163"/>
      <c r="BN596" s="165"/>
      <c r="BO596" s="165"/>
      <c r="BP596" s="165"/>
      <c r="BQ596" s="167"/>
    </row>
    <row r="597" spans="1:69" ht="39.950000000000003" customHeight="1" outlineLevel="1" x14ac:dyDescent="0.3">
      <c r="A597" s="15" t="s">
        <v>741</v>
      </c>
      <c r="B597" s="14" t="s">
        <v>1292</v>
      </c>
      <c r="C597" s="9" t="s">
        <v>30</v>
      </c>
      <c r="D597" s="9" t="s">
        <v>1230</v>
      </c>
      <c r="E597" s="158">
        <f t="shared" si="124"/>
        <v>509.60589000000004</v>
      </c>
      <c r="F597" s="159">
        <f t="shared" si="125"/>
        <v>143.40494000000001</v>
      </c>
      <c r="G597" s="160">
        <f t="shared" si="126"/>
        <v>366.20095000000003</v>
      </c>
      <c r="H597" s="166"/>
      <c r="I597" s="165"/>
      <c r="J597" s="160"/>
      <c r="K597" s="160"/>
      <c r="L597" s="166">
        <v>143.40494000000001</v>
      </c>
      <c r="M597" s="165">
        <v>224.76095000000001</v>
      </c>
      <c r="N597" s="165"/>
      <c r="O597" s="165"/>
      <c r="P597" s="160"/>
      <c r="Q597" s="166"/>
      <c r="R597" s="165"/>
      <c r="S597" s="165"/>
      <c r="T597" s="159"/>
      <c r="U597" s="160"/>
      <c r="V597" s="165"/>
      <c r="W597" s="165">
        <v>141.44</v>
      </c>
      <c r="X597" s="160"/>
      <c r="Y597" s="166"/>
      <c r="Z597" s="160"/>
      <c r="AA597" s="160"/>
      <c r="AB597" s="165"/>
      <c r="AC597" s="165"/>
      <c r="AD597" s="165"/>
      <c r="AE597" s="165"/>
      <c r="AF597" s="160"/>
      <c r="AG597" s="160"/>
      <c r="AH597" s="160"/>
      <c r="AI597" s="160"/>
      <c r="AJ597" s="161"/>
      <c r="AK597" s="162"/>
      <c r="AL597" s="165"/>
      <c r="AM597" s="166"/>
      <c r="AN597" s="165"/>
      <c r="AO597" s="160"/>
      <c r="AP597" s="162"/>
      <c r="AQ597" s="161"/>
      <c r="AR597" s="162"/>
      <c r="AS597" s="161"/>
      <c r="AT597" s="165"/>
      <c r="AU597" s="166"/>
      <c r="AV597" s="165"/>
      <c r="AW597" s="166"/>
      <c r="AX597" s="165"/>
      <c r="AY597" s="165"/>
      <c r="AZ597" s="165"/>
      <c r="BA597" s="165"/>
      <c r="BB597" s="166"/>
      <c r="BC597" s="165"/>
      <c r="BD597" s="165"/>
      <c r="BE597" s="165"/>
      <c r="BF597" s="165"/>
      <c r="BG597" s="165"/>
      <c r="BH597" s="165"/>
      <c r="BI597" s="165"/>
      <c r="BJ597" s="166"/>
      <c r="BK597" s="165"/>
      <c r="BL597" s="165"/>
      <c r="BM597" s="163"/>
      <c r="BN597" s="165"/>
      <c r="BO597" s="165"/>
      <c r="BP597" s="165"/>
      <c r="BQ597" s="167"/>
    </row>
    <row r="598" spans="1:69" ht="39.950000000000003" customHeight="1" outlineLevel="1" x14ac:dyDescent="0.3">
      <c r="A598" s="15" t="s">
        <v>741</v>
      </c>
      <c r="B598" s="14" t="s">
        <v>1291</v>
      </c>
      <c r="C598" s="9" t="s">
        <v>30</v>
      </c>
      <c r="D598" s="66" t="s">
        <v>790</v>
      </c>
      <c r="E598" s="158">
        <f t="shared" si="124"/>
        <v>180.9726</v>
      </c>
      <c r="F598" s="159">
        <f t="shared" si="125"/>
        <v>90.012640000000005</v>
      </c>
      <c r="G598" s="160">
        <f t="shared" si="126"/>
        <v>90.959959999999995</v>
      </c>
      <c r="H598" s="166">
        <v>43.107750000000003</v>
      </c>
      <c r="I598" s="165">
        <v>14.369249999999999</v>
      </c>
      <c r="J598" s="160"/>
      <c r="K598" s="160"/>
      <c r="L598" s="166">
        <v>46.904890000000002</v>
      </c>
      <c r="M598" s="165">
        <v>73.51482</v>
      </c>
      <c r="N598" s="165"/>
      <c r="O598" s="165"/>
      <c r="P598" s="160"/>
      <c r="Q598" s="166"/>
      <c r="R598" s="165"/>
      <c r="S598" s="165"/>
      <c r="T598" s="159"/>
      <c r="U598" s="160"/>
      <c r="V598" s="165"/>
      <c r="W598" s="165"/>
      <c r="X598" s="160"/>
      <c r="Y598" s="166"/>
      <c r="Z598" s="160"/>
      <c r="AA598" s="160"/>
      <c r="AB598" s="165"/>
      <c r="AC598" s="165"/>
      <c r="AD598" s="165"/>
      <c r="AE598" s="165"/>
      <c r="AF598" s="160"/>
      <c r="AG598" s="160">
        <v>3.0758899999999998</v>
      </c>
      <c r="AH598" s="160"/>
      <c r="AI598" s="160"/>
      <c r="AJ598" s="161"/>
      <c r="AK598" s="162"/>
      <c r="AL598" s="165"/>
      <c r="AM598" s="166"/>
      <c r="AN598" s="165"/>
      <c r="AO598" s="160"/>
      <c r="AP598" s="162"/>
      <c r="AQ598" s="161"/>
      <c r="AR598" s="162"/>
      <c r="AS598" s="161"/>
      <c r="AT598" s="165"/>
      <c r="AU598" s="166"/>
      <c r="AV598" s="165"/>
      <c r="AW598" s="166"/>
      <c r="AX598" s="165"/>
      <c r="AY598" s="165"/>
      <c r="AZ598" s="165"/>
      <c r="BA598" s="165"/>
      <c r="BB598" s="166"/>
      <c r="BC598" s="165"/>
      <c r="BD598" s="165"/>
      <c r="BE598" s="165"/>
      <c r="BF598" s="165"/>
      <c r="BG598" s="165"/>
      <c r="BH598" s="165"/>
      <c r="BI598" s="165"/>
      <c r="BJ598" s="166"/>
      <c r="BK598" s="165"/>
      <c r="BL598" s="165"/>
      <c r="BM598" s="163"/>
      <c r="BN598" s="165"/>
      <c r="BO598" s="165"/>
      <c r="BP598" s="165"/>
      <c r="BQ598" s="167"/>
    </row>
    <row r="599" spans="1:69" ht="39.950000000000003" customHeight="1" outlineLevel="1" x14ac:dyDescent="0.3">
      <c r="A599" s="15" t="s">
        <v>741</v>
      </c>
      <c r="B599" s="14" t="s">
        <v>1406</v>
      </c>
      <c r="C599" s="9" t="s">
        <v>30</v>
      </c>
      <c r="D599" s="66">
        <v>246523914459</v>
      </c>
      <c r="E599" s="158">
        <f t="shared" si="124"/>
        <v>2997</v>
      </c>
      <c r="F599" s="159">
        <f t="shared" si="125"/>
        <v>0</v>
      </c>
      <c r="G599" s="160">
        <f t="shared" si="126"/>
        <v>2997</v>
      </c>
      <c r="H599" s="166"/>
      <c r="I599" s="165"/>
      <c r="J599" s="160"/>
      <c r="K599" s="160"/>
      <c r="L599" s="166"/>
      <c r="M599" s="165"/>
      <c r="N599" s="165"/>
      <c r="O599" s="165"/>
      <c r="P599" s="160"/>
      <c r="Q599" s="166"/>
      <c r="R599" s="165"/>
      <c r="S599" s="165"/>
      <c r="T599" s="159"/>
      <c r="U599" s="160"/>
      <c r="V599" s="165"/>
      <c r="W599" s="165"/>
      <c r="X599" s="160"/>
      <c r="Y599" s="166"/>
      <c r="Z599" s="160"/>
      <c r="AA599" s="160"/>
      <c r="AB599" s="165"/>
      <c r="AC599" s="165"/>
      <c r="AD599" s="165"/>
      <c r="AE599" s="165"/>
      <c r="AF599" s="160"/>
      <c r="AG599" s="160"/>
      <c r="AH599" s="160"/>
      <c r="AI599" s="160"/>
      <c r="AJ599" s="161">
        <v>2997</v>
      </c>
      <c r="AK599" s="162"/>
      <c r="AL599" s="165"/>
      <c r="AM599" s="166"/>
      <c r="AN599" s="165"/>
      <c r="AO599" s="160"/>
      <c r="AP599" s="162"/>
      <c r="AQ599" s="161"/>
      <c r="AR599" s="162"/>
      <c r="AS599" s="161"/>
      <c r="AT599" s="165"/>
      <c r="AU599" s="166"/>
      <c r="AV599" s="165"/>
      <c r="AW599" s="166"/>
      <c r="AX599" s="165"/>
      <c r="AY599" s="165"/>
      <c r="AZ599" s="165"/>
      <c r="BA599" s="165"/>
      <c r="BB599" s="166"/>
      <c r="BC599" s="165"/>
      <c r="BD599" s="165"/>
      <c r="BE599" s="165"/>
      <c r="BF599" s="165"/>
      <c r="BG599" s="165"/>
      <c r="BH599" s="165"/>
      <c r="BI599" s="165"/>
      <c r="BJ599" s="166"/>
      <c r="BK599" s="165"/>
      <c r="BL599" s="165"/>
      <c r="BM599" s="163"/>
      <c r="BN599" s="165"/>
      <c r="BO599" s="165"/>
      <c r="BP599" s="165"/>
      <c r="BQ599" s="167"/>
    </row>
    <row r="600" spans="1:69" ht="39.950000000000003" customHeight="1" outlineLevel="1" x14ac:dyDescent="0.3">
      <c r="A600" s="15" t="s">
        <v>741</v>
      </c>
      <c r="B600" s="14" t="s">
        <v>791</v>
      </c>
      <c r="C600" s="9" t="s">
        <v>30</v>
      </c>
      <c r="D600" s="66" t="s">
        <v>792</v>
      </c>
      <c r="E600" s="158">
        <f t="shared" si="124"/>
        <v>555.04032000000007</v>
      </c>
      <c r="F600" s="159">
        <f t="shared" si="125"/>
        <v>151.27879000000001</v>
      </c>
      <c r="G600" s="160">
        <f t="shared" si="126"/>
        <v>403.76152999999999</v>
      </c>
      <c r="H600" s="166">
        <v>61.582500000000003</v>
      </c>
      <c r="I600" s="165">
        <v>20.5275</v>
      </c>
      <c r="J600" s="160"/>
      <c r="K600" s="160"/>
      <c r="L600" s="166">
        <v>89.696290000000005</v>
      </c>
      <c r="M600" s="165">
        <v>140.58247</v>
      </c>
      <c r="N600" s="165"/>
      <c r="O600" s="165"/>
      <c r="P600" s="160"/>
      <c r="Q600" s="166"/>
      <c r="R600" s="165"/>
      <c r="S600" s="165"/>
      <c r="T600" s="159"/>
      <c r="U600" s="160"/>
      <c r="V600" s="165"/>
      <c r="W600" s="165"/>
      <c r="X600" s="160"/>
      <c r="Y600" s="166"/>
      <c r="Z600" s="160"/>
      <c r="AA600" s="160"/>
      <c r="AB600" s="165"/>
      <c r="AC600" s="165"/>
      <c r="AD600" s="165"/>
      <c r="AE600" s="165"/>
      <c r="AF600" s="160"/>
      <c r="AG600" s="160"/>
      <c r="AH600" s="160"/>
      <c r="AI600" s="160"/>
      <c r="AJ600" s="161"/>
      <c r="AK600" s="162"/>
      <c r="AL600" s="165"/>
      <c r="AM600" s="166"/>
      <c r="AN600" s="165"/>
      <c r="AO600" s="160"/>
      <c r="AP600" s="162"/>
      <c r="AQ600" s="161"/>
      <c r="AR600" s="162"/>
      <c r="AS600" s="161"/>
      <c r="AT600" s="165"/>
      <c r="AU600" s="166"/>
      <c r="AV600" s="165"/>
      <c r="AW600" s="166"/>
      <c r="AX600" s="165"/>
      <c r="AY600" s="165"/>
      <c r="AZ600" s="165"/>
      <c r="BA600" s="165"/>
      <c r="BB600" s="166"/>
      <c r="BC600" s="165"/>
      <c r="BD600" s="165"/>
      <c r="BE600" s="165">
        <v>242.65155999999999</v>
      </c>
      <c r="BF600" s="165"/>
      <c r="BG600" s="165"/>
      <c r="BH600" s="165"/>
      <c r="BI600" s="165"/>
      <c r="BJ600" s="166"/>
      <c r="BK600" s="165"/>
      <c r="BL600" s="165"/>
      <c r="BM600" s="163"/>
      <c r="BN600" s="165"/>
      <c r="BO600" s="165"/>
      <c r="BP600" s="165"/>
      <c r="BQ600" s="167"/>
    </row>
    <row r="601" spans="1:69" ht="39.950000000000003" customHeight="1" outlineLevel="1" x14ac:dyDescent="0.3">
      <c r="A601" s="15" t="s">
        <v>741</v>
      </c>
      <c r="B601" s="14" t="s">
        <v>793</v>
      </c>
      <c r="C601" s="9" t="s">
        <v>30</v>
      </c>
      <c r="D601" s="66" t="s">
        <v>794</v>
      </c>
      <c r="E601" s="158">
        <f t="shared" si="124"/>
        <v>189.54291000000001</v>
      </c>
      <c r="F601" s="159">
        <f t="shared" si="125"/>
        <v>56.788049999999998</v>
      </c>
      <c r="G601" s="160">
        <f t="shared" si="126"/>
        <v>132.75486000000001</v>
      </c>
      <c r="H601" s="166"/>
      <c r="I601" s="165"/>
      <c r="J601" s="160"/>
      <c r="K601" s="160"/>
      <c r="L601" s="166">
        <v>56.788049999999998</v>
      </c>
      <c r="M601" s="165">
        <v>89.004859999999994</v>
      </c>
      <c r="N601" s="165"/>
      <c r="O601" s="165"/>
      <c r="P601" s="160"/>
      <c r="Q601" s="166"/>
      <c r="R601" s="165"/>
      <c r="S601" s="165"/>
      <c r="T601" s="159"/>
      <c r="U601" s="160"/>
      <c r="V601" s="165"/>
      <c r="W601" s="165"/>
      <c r="X601" s="160"/>
      <c r="Y601" s="166"/>
      <c r="Z601" s="160"/>
      <c r="AA601" s="160"/>
      <c r="AB601" s="165"/>
      <c r="AC601" s="165"/>
      <c r="AD601" s="165"/>
      <c r="AE601" s="165"/>
      <c r="AF601" s="160"/>
      <c r="AG601" s="160"/>
      <c r="AH601" s="160"/>
      <c r="AI601" s="160"/>
      <c r="AJ601" s="161"/>
      <c r="AK601" s="162"/>
      <c r="AL601" s="165"/>
      <c r="AM601" s="166"/>
      <c r="AN601" s="165"/>
      <c r="AO601" s="160"/>
      <c r="AP601" s="162"/>
      <c r="AQ601" s="161"/>
      <c r="AR601" s="162"/>
      <c r="AS601" s="161"/>
      <c r="AT601" s="165"/>
      <c r="AU601" s="166"/>
      <c r="AV601" s="165"/>
      <c r="AW601" s="166"/>
      <c r="AX601" s="165"/>
      <c r="AY601" s="165"/>
      <c r="AZ601" s="165"/>
      <c r="BA601" s="165"/>
      <c r="BB601" s="166"/>
      <c r="BC601" s="165"/>
      <c r="BD601" s="165"/>
      <c r="BE601" s="165"/>
      <c r="BF601" s="165"/>
      <c r="BG601" s="165">
        <v>43.75</v>
      </c>
      <c r="BH601" s="165"/>
      <c r="BI601" s="165"/>
      <c r="BJ601" s="166"/>
      <c r="BK601" s="165"/>
      <c r="BL601" s="165"/>
      <c r="BM601" s="163"/>
      <c r="BN601" s="165"/>
      <c r="BO601" s="165"/>
      <c r="BP601" s="165"/>
      <c r="BQ601" s="167"/>
    </row>
    <row r="602" spans="1:69" ht="39.950000000000003" customHeight="1" outlineLevel="1" x14ac:dyDescent="0.3">
      <c r="A602" s="15" t="s">
        <v>741</v>
      </c>
      <c r="B602" s="14" t="s">
        <v>795</v>
      </c>
      <c r="C602" s="9" t="s">
        <v>30</v>
      </c>
      <c r="D602" s="66" t="s">
        <v>796</v>
      </c>
      <c r="E602" s="158">
        <f t="shared" si="124"/>
        <v>3661.8250799999996</v>
      </c>
      <c r="F602" s="159">
        <f t="shared" si="125"/>
        <v>269.88959</v>
      </c>
      <c r="G602" s="160">
        <f t="shared" si="126"/>
        <v>3391.9354899999998</v>
      </c>
      <c r="H602" s="166"/>
      <c r="I602" s="165"/>
      <c r="J602" s="160"/>
      <c r="K602" s="160"/>
      <c r="L602" s="166">
        <v>161.41703000000001</v>
      </c>
      <c r="M602" s="165">
        <v>252.99160000000001</v>
      </c>
      <c r="N602" s="165"/>
      <c r="O602" s="165"/>
      <c r="P602" s="160"/>
      <c r="Q602" s="166"/>
      <c r="R602" s="165"/>
      <c r="S602" s="165"/>
      <c r="T602" s="159"/>
      <c r="U602" s="160"/>
      <c r="V602" s="165"/>
      <c r="W602" s="165"/>
      <c r="X602" s="160"/>
      <c r="Y602" s="166"/>
      <c r="Z602" s="160"/>
      <c r="AA602" s="160"/>
      <c r="AB602" s="165"/>
      <c r="AC602" s="165"/>
      <c r="AD602" s="165"/>
      <c r="AE602" s="165"/>
      <c r="AF602" s="160"/>
      <c r="AG602" s="160">
        <v>3.7347899999999998</v>
      </c>
      <c r="AH602" s="160"/>
      <c r="AI602" s="160"/>
      <c r="AJ602" s="161"/>
      <c r="AK602" s="162"/>
      <c r="AL602" s="165"/>
      <c r="AM602" s="166"/>
      <c r="AN602" s="165"/>
      <c r="AO602" s="160"/>
      <c r="AP602" s="162"/>
      <c r="AQ602" s="161"/>
      <c r="AR602" s="162"/>
      <c r="AS602" s="161"/>
      <c r="AT602" s="165"/>
      <c r="AU602" s="166"/>
      <c r="AV602" s="165"/>
      <c r="AW602" s="166">
        <v>108.47256</v>
      </c>
      <c r="AX602" s="165">
        <f>21.8354+32.4009</f>
        <v>54.2363</v>
      </c>
      <c r="AY602" s="165">
        <v>80.972800000000007</v>
      </c>
      <c r="AZ602" s="165"/>
      <c r="BA602" s="165"/>
      <c r="BB602" s="166"/>
      <c r="BC602" s="165"/>
      <c r="BD602" s="165"/>
      <c r="BE602" s="165"/>
      <c r="BF602" s="165"/>
      <c r="BG602" s="165"/>
      <c r="BH602" s="165">
        <v>3000</v>
      </c>
      <c r="BI602" s="165"/>
      <c r="BJ602" s="166"/>
      <c r="BK602" s="165"/>
      <c r="BL602" s="165"/>
      <c r="BM602" s="163"/>
      <c r="BN602" s="165"/>
      <c r="BO602" s="165"/>
      <c r="BP602" s="165"/>
      <c r="BQ602" s="167"/>
    </row>
    <row r="603" spans="1:69" ht="39.950000000000003" customHeight="1" outlineLevel="1" x14ac:dyDescent="0.3">
      <c r="A603" s="15" t="s">
        <v>741</v>
      </c>
      <c r="B603" s="14" t="s">
        <v>1418</v>
      </c>
      <c r="C603" s="9" t="s">
        <v>30</v>
      </c>
      <c r="D603" s="66">
        <v>242903688128</v>
      </c>
      <c r="E603" s="158">
        <f t="shared" si="124"/>
        <v>3318.3029999999999</v>
      </c>
      <c r="F603" s="159">
        <f t="shared" si="125"/>
        <v>90.320999999999998</v>
      </c>
      <c r="G603" s="160">
        <f t="shared" si="126"/>
        <v>3227.982</v>
      </c>
      <c r="H603" s="166">
        <v>90.320999999999998</v>
      </c>
      <c r="I603" s="165">
        <v>30.106999999999999</v>
      </c>
      <c r="J603" s="160"/>
      <c r="K603" s="160"/>
      <c r="L603" s="166"/>
      <c r="M603" s="165"/>
      <c r="N603" s="165"/>
      <c r="O603" s="165"/>
      <c r="P603" s="160"/>
      <c r="Q603" s="166"/>
      <c r="R603" s="165"/>
      <c r="S603" s="165"/>
      <c r="T603" s="159"/>
      <c r="U603" s="160"/>
      <c r="V603" s="165"/>
      <c r="W603" s="165"/>
      <c r="X603" s="160"/>
      <c r="Y603" s="166"/>
      <c r="Z603" s="160"/>
      <c r="AA603" s="160"/>
      <c r="AB603" s="165"/>
      <c r="AC603" s="165"/>
      <c r="AD603" s="165"/>
      <c r="AE603" s="165"/>
      <c r="AF603" s="160"/>
      <c r="AG603" s="160"/>
      <c r="AH603" s="160"/>
      <c r="AI603" s="160"/>
      <c r="AJ603" s="161"/>
      <c r="AK603" s="162"/>
      <c r="AL603" s="161"/>
      <c r="AM603" s="162"/>
      <c r="AN603" s="161"/>
      <c r="AO603" s="160"/>
      <c r="AP603" s="162"/>
      <c r="AQ603" s="161"/>
      <c r="AR603" s="162"/>
      <c r="AS603" s="161"/>
      <c r="AT603" s="165"/>
      <c r="AU603" s="166"/>
      <c r="AV603" s="165"/>
      <c r="AW603" s="166"/>
      <c r="AX603" s="165"/>
      <c r="AY603" s="165"/>
      <c r="AZ603" s="165"/>
      <c r="BA603" s="165"/>
      <c r="BB603" s="166"/>
      <c r="BC603" s="165"/>
      <c r="BD603" s="165"/>
      <c r="BE603" s="165"/>
      <c r="BF603" s="165"/>
      <c r="BG603" s="165"/>
      <c r="BH603" s="165">
        <v>3197.875</v>
      </c>
      <c r="BI603" s="165"/>
      <c r="BJ603" s="166"/>
      <c r="BK603" s="165"/>
      <c r="BL603" s="165"/>
      <c r="BM603" s="163"/>
      <c r="BN603" s="165"/>
      <c r="BO603" s="165"/>
      <c r="BP603" s="165"/>
      <c r="BQ603" s="167"/>
    </row>
    <row r="604" spans="1:69" ht="39.950000000000003" customHeight="1" outlineLevel="1" x14ac:dyDescent="0.3">
      <c r="A604" s="15" t="s">
        <v>741</v>
      </c>
      <c r="B604" s="14" t="s">
        <v>797</v>
      </c>
      <c r="C604" s="9" t="s">
        <v>30</v>
      </c>
      <c r="D604" s="66" t="s">
        <v>798</v>
      </c>
      <c r="E604" s="158">
        <f t="shared" si="124"/>
        <v>476.25217999999995</v>
      </c>
      <c r="F604" s="159">
        <f t="shared" si="125"/>
        <v>185.50582</v>
      </c>
      <c r="G604" s="160">
        <f t="shared" si="126"/>
        <v>290.74635999999998</v>
      </c>
      <c r="H604" s="166"/>
      <c r="I604" s="165"/>
      <c r="J604" s="160"/>
      <c r="K604" s="160"/>
      <c r="L604" s="166">
        <v>185.50582</v>
      </c>
      <c r="M604" s="165">
        <v>290.74635999999998</v>
      </c>
      <c r="N604" s="165"/>
      <c r="O604" s="165"/>
      <c r="P604" s="160"/>
      <c r="Q604" s="166"/>
      <c r="R604" s="165"/>
      <c r="S604" s="165"/>
      <c r="T604" s="159"/>
      <c r="U604" s="160"/>
      <c r="V604" s="165"/>
      <c r="W604" s="165"/>
      <c r="X604" s="160"/>
      <c r="Y604" s="166"/>
      <c r="Z604" s="160"/>
      <c r="AA604" s="160"/>
      <c r="AB604" s="165"/>
      <c r="AC604" s="165"/>
      <c r="AD604" s="165"/>
      <c r="AE604" s="165"/>
      <c r="AF604" s="160"/>
      <c r="AG604" s="160"/>
      <c r="AH604" s="160"/>
      <c r="AI604" s="160"/>
      <c r="AJ604" s="161"/>
      <c r="AK604" s="162"/>
      <c r="AL604" s="165"/>
      <c r="AM604" s="166"/>
      <c r="AN604" s="165"/>
      <c r="AO604" s="160"/>
      <c r="AP604" s="162"/>
      <c r="AQ604" s="161"/>
      <c r="AR604" s="162"/>
      <c r="AS604" s="161"/>
      <c r="AT604" s="165"/>
      <c r="AU604" s="166"/>
      <c r="AV604" s="165"/>
      <c r="AW604" s="166"/>
      <c r="AX604" s="165"/>
      <c r="AY604" s="165"/>
      <c r="AZ604" s="165"/>
      <c r="BA604" s="165"/>
      <c r="BB604" s="166"/>
      <c r="BC604" s="165"/>
      <c r="BD604" s="165"/>
      <c r="BE604" s="165"/>
      <c r="BF604" s="165"/>
      <c r="BG604" s="165"/>
      <c r="BH604" s="165"/>
      <c r="BI604" s="165"/>
      <c r="BJ604" s="166"/>
      <c r="BK604" s="165"/>
      <c r="BL604" s="165"/>
      <c r="BM604" s="163"/>
      <c r="BN604" s="165"/>
      <c r="BO604" s="165"/>
      <c r="BP604" s="165"/>
      <c r="BQ604" s="167"/>
    </row>
    <row r="605" spans="1:69" ht="39.950000000000003" customHeight="1" outlineLevel="1" x14ac:dyDescent="0.3">
      <c r="A605" s="15" t="s">
        <v>741</v>
      </c>
      <c r="B605" s="14" t="s">
        <v>799</v>
      </c>
      <c r="C605" s="9" t="s">
        <v>30</v>
      </c>
      <c r="D605" s="66" t="s">
        <v>800</v>
      </c>
      <c r="E605" s="158">
        <f t="shared" si="124"/>
        <v>5441.1746600000006</v>
      </c>
      <c r="F605" s="159">
        <f t="shared" si="125"/>
        <v>155.28846999999999</v>
      </c>
      <c r="G605" s="160">
        <f t="shared" si="126"/>
        <v>5285.8861900000002</v>
      </c>
      <c r="H605" s="166"/>
      <c r="I605" s="165"/>
      <c r="J605" s="160"/>
      <c r="K605" s="160"/>
      <c r="L605" s="166">
        <v>155.28846999999999</v>
      </c>
      <c r="M605" s="165">
        <v>243.38619</v>
      </c>
      <c r="N605" s="165"/>
      <c r="O605" s="165"/>
      <c r="P605" s="160"/>
      <c r="Q605" s="166"/>
      <c r="R605" s="165"/>
      <c r="S605" s="165"/>
      <c r="T605" s="159"/>
      <c r="U605" s="160"/>
      <c r="V605" s="165"/>
      <c r="W605" s="165"/>
      <c r="X605" s="160"/>
      <c r="Y605" s="166"/>
      <c r="Z605" s="160"/>
      <c r="AA605" s="160"/>
      <c r="AB605" s="165"/>
      <c r="AC605" s="165"/>
      <c r="AD605" s="165"/>
      <c r="AE605" s="165"/>
      <c r="AF605" s="160"/>
      <c r="AG605" s="160"/>
      <c r="AH605" s="160"/>
      <c r="AI605" s="160"/>
      <c r="AJ605" s="161"/>
      <c r="AK605" s="162"/>
      <c r="AL605" s="165"/>
      <c r="AM605" s="166"/>
      <c r="AN605" s="165"/>
      <c r="AO605" s="160"/>
      <c r="AP605" s="162"/>
      <c r="AQ605" s="161"/>
      <c r="AR605" s="162"/>
      <c r="AS605" s="161"/>
      <c r="AT605" s="165"/>
      <c r="AU605" s="166"/>
      <c r="AV605" s="165"/>
      <c r="AW605" s="166"/>
      <c r="AX605" s="165"/>
      <c r="AY605" s="165"/>
      <c r="AZ605" s="165"/>
      <c r="BA605" s="165"/>
      <c r="BB605" s="166"/>
      <c r="BC605" s="165"/>
      <c r="BD605" s="165"/>
      <c r="BE605" s="165"/>
      <c r="BF605" s="165"/>
      <c r="BG605" s="165"/>
      <c r="BH605" s="165">
        <v>5042.5</v>
      </c>
      <c r="BI605" s="165"/>
      <c r="BJ605" s="166"/>
      <c r="BK605" s="165"/>
      <c r="BL605" s="165"/>
      <c r="BM605" s="163"/>
      <c r="BN605" s="165"/>
      <c r="BO605" s="165"/>
      <c r="BP605" s="165"/>
      <c r="BQ605" s="167"/>
    </row>
    <row r="606" spans="1:69" ht="39.950000000000003" customHeight="1" outlineLevel="1" x14ac:dyDescent="0.3">
      <c r="A606" s="15" t="s">
        <v>741</v>
      </c>
      <c r="B606" s="14" t="s">
        <v>801</v>
      </c>
      <c r="C606" s="9" t="s">
        <v>30</v>
      </c>
      <c r="D606" s="66" t="s">
        <v>802</v>
      </c>
      <c r="E606" s="158">
        <f t="shared" si="124"/>
        <v>112.12334</v>
      </c>
      <c r="F606" s="159">
        <f t="shared" si="125"/>
        <v>43.673360000000002</v>
      </c>
      <c r="G606" s="160">
        <f t="shared" si="126"/>
        <v>68.449979999999996</v>
      </c>
      <c r="H606" s="166"/>
      <c r="I606" s="165"/>
      <c r="J606" s="160"/>
      <c r="K606" s="160"/>
      <c r="L606" s="166">
        <v>43.673360000000002</v>
      </c>
      <c r="M606" s="165">
        <v>68.449979999999996</v>
      </c>
      <c r="N606" s="165"/>
      <c r="O606" s="165"/>
      <c r="P606" s="160"/>
      <c r="Q606" s="166"/>
      <c r="R606" s="165"/>
      <c r="S606" s="165"/>
      <c r="T606" s="159"/>
      <c r="U606" s="160"/>
      <c r="V606" s="165"/>
      <c r="W606" s="165"/>
      <c r="X606" s="160"/>
      <c r="Y606" s="166"/>
      <c r="Z606" s="160"/>
      <c r="AA606" s="160"/>
      <c r="AB606" s="165"/>
      <c r="AC606" s="165"/>
      <c r="AD606" s="165"/>
      <c r="AE606" s="165"/>
      <c r="AF606" s="160"/>
      <c r="AG606" s="160"/>
      <c r="AH606" s="160"/>
      <c r="AI606" s="160"/>
      <c r="AJ606" s="161"/>
      <c r="AK606" s="162"/>
      <c r="AL606" s="165"/>
      <c r="AM606" s="166"/>
      <c r="AN606" s="165"/>
      <c r="AO606" s="160"/>
      <c r="AP606" s="162"/>
      <c r="AQ606" s="161"/>
      <c r="AR606" s="162"/>
      <c r="AS606" s="161"/>
      <c r="AT606" s="165"/>
      <c r="AU606" s="166"/>
      <c r="AV606" s="165"/>
      <c r="AW606" s="166"/>
      <c r="AX606" s="165"/>
      <c r="AY606" s="165"/>
      <c r="AZ606" s="165"/>
      <c r="BA606" s="165"/>
      <c r="BB606" s="166"/>
      <c r="BC606" s="165"/>
      <c r="BD606" s="165"/>
      <c r="BE606" s="165"/>
      <c r="BF606" s="165"/>
      <c r="BG606" s="165"/>
      <c r="BH606" s="165"/>
      <c r="BI606" s="165"/>
      <c r="BJ606" s="166"/>
      <c r="BK606" s="165"/>
      <c r="BL606" s="165"/>
      <c r="BM606" s="163"/>
      <c r="BN606" s="165"/>
      <c r="BO606" s="165"/>
      <c r="BP606" s="165"/>
      <c r="BQ606" s="167"/>
    </row>
    <row r="607" spans="1:69" ht="39.950000000000003" customHeight="1" outlineLevel="1" x14ac:dyDescent="0.3">
      <c r="A607" s="15" t="s">
        <v>741</v>
      </c>
      <c r="B607" s="14" t="s">
        <v>803</v>
      </c>
      <c r="C607" s="9" t="s">
        <v>30</v>
      </c>
      <c r="D607" s="66" t="s">
        <v>804</v>
      </c>
      <c r="E607" s="158">
        <f t="shared" si="124"/>
        <v>186.10505999999998</v>
      </c>
      <c r="F607" s="159">
        <f t="shared" ref="F607:F638" si="127">H607+L607+Q607+Y607+T607+AK607+AP607+AM607+AR607+AU607+AW607+BB607+BJ607</f>
        <v>72.490110000000001</v>
      </c>
      <c r="G607" s="160">
        <f t="shared" ref="G607:G638" si="128">I607+J607+K607+M607+N607+R607+S607+V607+W607+AD607+O607+X607+Z607+AA607+AB607+AC607+AE607+AF607+P607+U607+AG607+AH607+AI607+AO607+AJ607+AL607+AQ607+AN607+AS607+AV607+AX607+AY607+AZ607+BA607+BC607+BD607+BE607+BF607+BG607+BH607+BI607+AT607+BK607+BL607+BN607+BO607+BP607+BQ607+BM607</f>
        <v>113.61494999999999</v>
      </c>
      <c r="H607" s="166"/>
      <c r="I607" s="165"/>
      <c r="J607" s="160"/>
      <c r="K607" s="160"/>
      <c r="L607" s="166">
        <v>72.490110000000001</v>
      </c>
      <c r="M607" s="165">
        <v>113.61494999999999</v>
      </c>
      <c r="N607" s="165"/>
      <c r="O607" s="165"/>
      <c r="P607" s="160"/>
      <c r="Q607" s="166"/>
      <c r="R607" s="165"/>
      <c r="S607" s="165"/>
      <c r="T607" s="159"/>
      <c r="U607" s="160"/>
      <c r="V607" s="165"/>
      <c r="W607" s="165"/>
      <c r="X607" s="160"/>
      <c r="Y607" s="166"/>
      <c r="Z607" s="160"/>
      <c r="AA607" s="160"/>
      <c r="AB607" s="165"/>
      <c r="AC607" s="165"/>
      <c r="AD607" s="165"/>
      <c r="AE607" s="165"/>
      <c r="AF607" s="160"/>
      <c r="AG607" s="160"/>
      <c r="AH607" s="160"/>
      <c r="AI607" s="160"/>
      <c r="AJ607" s="161"/>
      <c r="AK607" s="162"/>
      <c r="AL607" s="165"/>
      <c r="AM607" s="166"/>
      <c r="AN607" s="165"/>
      <c r="AO607" s="160"/>
      <c r="AP607" s="162"/>
      <c r="AQ607" s="161"/>
      <c r="AR607" s="162"/>
      <c r="AS607" s="161"/>
      <c r="AT607" s="165"/>
      <c r="AU607" s="166"/>
      <c r="AV607" s="165"/>
      <c r="AW607" s="166"/>
      <c r="AX607" s="165"/>
      <c r="AY607" s="165"/>
      <c r="AZ607" s="165"/>
      <c r="BA607" s="165"/>
      <c r="BB607" s="166"/>
      <c r="BC607" s="165"/>
      <c r="BD607" s="165"/>
      <c r="BE607" s="165"/>
      <c r="BF607" s="165"/>
      <c r="BG607" s="165"/>
      <c r="BH607" s="165"/>
      <c r="BI607" s="165"/>
      <c r="BJ607" s="166"/>
      <c r="BK607" s="165"/>
      <c r="BL607" s="165"/>
      <c r="BM607" s="163"/>
      <c r="BN607" s="165"/>
      <c r="BO607" s="165"/>
      <c r="BP607" s="165"/>
      <c r="BQ607" s="167"/>
    </row>
    <row r="608" spans="1:69" ht="39.950000000000003" customHeight="1" outlineLevel="1" x14ac:dyDescent="0.3">
      <c r="A608" s="15" t="s">
        <v>741</v>
      </c>
      <c r="B608" s="14" t="s">
        <v>805</v>
      </c>
      <c r="C608" s="9" t="s">
        <v>30</v>
      </c>
      <c r="D608" s="66" t="s">
        <v>806</v>
      </c>
      <c r="E608" s="158">
        <f t="shared" si="124"/>
        <v>394.89414999999997</v>
      </c>
      <c r="F608" s="159">
        <f t="shared" si="127"/>
        <v>50.962539999999997</v>
      </c>
      <c r="G608" s="160">
        <f t="shared" si="128"/>
        <v>343.93160999999998</v>
      </c>
      <c r="H608" s="166">
        <v>28.738499999999998</v>
      </c>
      <c r="I608" s="165">
        <v>9.5794999999999995</v>
      </c>
      <c r="J608" s="160"/>
      <c r="K608" s="160"/>
      <c r="L608" s="166">
        <v>22.224039999999999</v>
      </c>
      <c r="M608" s="165">
        <v>34.83211</v>
      </c>
      <c r="N608" s="165"/>
      <c r="O608" s="165"/>
      <c r="P608" s="160"/>
      <c r="Q608" s="166"/>
      <c r="R608" s="165"/>
      <c r="S608" s="165"/>
      <c r="T608" s="159"/>
      <c r="U608" s="160"/>
      <c r="V608" s="165"/>
      <c r="W608" s="165">
        <v>299.52</v>
      </c>
      <c r="X608" s="160"/>
      <c r="Y608" s="166"/>
      <c r="Z608" s="160"/>
      <c r="AA608" s="160"/>
      <c r="AB608" s="165"/>
      <c r="AC608" s="165"/>
      <c r="AD608" s="165"/>
      <c r="AE608" s="165"/>
      <c r="AF608" s="160"/>
      <c r="AG608" s="160"/>
      <c r="AH608" s="160"/>
      <c r="AI608" s="160"/>
      <c r="AJ608" s="161"/>
      <c r="AK608" s="162"/>
      <c r="AL608" s="165"/>
      <c r="AM608" s="166"/>
      <c r="AN608" s="165"/>
      <c r="AO608" s="160"/>
      <c r="AP608" s="162"/>
      <c r="AQ608" s="161"/>
      <c r="AR608" s="162"/>
      <c r="AS608" s="161"/>
      <c r="AT608" s="165"/>
      <c r="AU608" s="166"/>
      <c r="AV608" s="165"/>
      <c r="AW608" s="166"/>
      <c r="AX608" s="165"/>
      <c r="AY608" s="165"/>
      <c r="AZ608" s="165"/>
      <c r="BA608" s="165"/>
      <c r="BB608" s="166"/>
      <c r="BC608" s="165"/>
      <c r="BD608" s="165"/>
      <c r="BE608" s="165"/>
      <c r="BF608" s="165"/>
      <c r="BG608" s="165"/>
      <c r="BH608" s="165"/>
      <c r="BI608" s="165"/>
      <c r="BJ608" s="166"/>
      <c r="BK608" s="165"/>
      <c r="BL608" s="165"/>
      <c r="BM608" s="163"/>
      <c r="BN608" s="165"/>
      <c r="BO608" s="165"/>
      <c r="BP608" s="165"/>
      <c r="BQ608" s="167"/>
    </row>
    <row r="609" spans="1:69" ht="39.950000000000003" customHeight="1" outlineLevel="1" x14ac:dyDescent="0.3">
      <c r="A609" s="15" t="s">
        <v>741</v>
      </c>
      <c r="B609" s="14" t="s">
        <v>807</v>
      </c>
      <c r="C609" s="9" t="s">
        <v>30</v>
      </c>
      <c r="D609" s="66" t="s">
        <v>808</v>
      </c>
      <c r="E609" s="158">
        <f t="shared" si="124"/>
        <v>396.20501999999999</v>
      </c>
      <c r="F609" s="159">
        <f t="shared" si="127"/>
        <v>154.32651000000001</v>
      </c>
      <c r="G609" s="160">
        <f t="shared" si="128"/>
        <v>241.87851000000001</v>
      </c>
      <c r="H609" s="166"/>
      <c r="I609" s="165"/>
      <c r="J609" s="160"/>
      <c r="K609" s="160"/>
      <c r="L609" s="166">
        <v>154.32651000000001</v>
      </c>
      <c r="M609" s="165">
        <v>241.87851000000001</v>
      </c>
      <c r="N609" s="165"/>
      <c r="O609" s="165"/>
      <c r="P609" s="160"/>
      <c r="Q609" s="166"/>
      <c r="R609" s="165"/>
      <c r="S609" s="165"/>
      <c r="T609" s="159"/>
      <c r="U609" s="160"/>
      <c r="V609" s="165"/>
      <c r="W609" s="165"/>
      <c r="X609" s="160"/>
      <c r="Y609" s="166"/>
      <c r="Z609" s="160"/>
      <c r="AA609" s="160"/>
      <c r="AB609" s="165"/>
      <c r="AC609" s="165"/>
      <c r="AD609" s="165"/>
      <c r="AE609" s="165"/>
      <c r="AF609" s="160"/>
      <c r="AG609" s="160"/>
      <c r="AH609" s="160"/>
      <c r="AI609" s="160"/>
      <c r="AJ609" s="161"/>
      <c r="AK609" s="162"/>
      <c r="AL609" s="165"/>
      <c r="AM609" s="166"/>
      <c r="AN609" s="165"/>
      <c r="AO609" s="160"/>
      <c r="AP609" s="162"/>
      <c r="AQ609" s="161"/>
      <c r="AR609" s="162"/>
      <c r="AS609" s="161"/>
      <c r="AT609" s="165"/>
      <c r="AU609" s="166"/>
      <c r="AV609" s="165"/>
      <c r="AW609" s="166"/>
      <c r="AX609" s="165"/>
      <c r="AY609" s="165"/>
      <c r="AZ609" s="165"/>
      <c r="BA609" s="165"/>
      <c r="BB609" s="166"/>
      <c r="BC609" s="165"/>
      <c r="BD609" s="165"/>
      <c r="BE609" s="165"/>
      <c r="BF609" s="165"/>
      <c r="BG609" s="165"/>
      <c r="BH609" s="165"/>
      <c r="BI609" s="165"/>
      <c r="BJ609" s="166"/>
      <c r="BK609" s="165"/>
      <c r="BL609" s="165"/>
      <c r="BM609" s="163"/>
      <c r="BN609" s="165"/>
      <c r="BO609" s="165"/>
      <c r="BP609" s="165"/>
      <c r="BQ609" s="167"/>
    </row>
    <row r="610" spans="1:69" ht="39.950000000000003" customHeight="1" outlineLevel="1" x14ac:dyDescent="0.3">
      <c r="A610" s="15" t="s">
        <v>741</v>
      </c>
      <c r="B610" s="14" t="s">
        <v>809</v>
      </c>
      <c r="C610" s="9" t="s">
        <v>30</v>
      </c>
      <c r="D610" s="66">
        <v>242901237176</v>
      </c>
      <c r="E610" s="158">
        <f t="shared" si="124"/>
        <v>648.96</v>
      </c>
      <c r="F610" s="159">
        <f t="shared" si="127"/>
        <v>0</v>
      </c>
      <c r="G610" s="160">
        <f t="shared" si="128"/>
        <v>648.96</v>
      </c>
      <c r="H610" s="166"/>
      <c r="I610" s="165"/>
      <c r="J610" s="160"/>
      <c r="K610" s="160"/>
      <c r="L610" s="166"/>
      <c r="M610" s="165"/>
      <c r="N610" s="165"/>
      <c r="O610" s="165"/>
      <c r="P610" s="160"/>
      <c r="Q610" s="166"/>
      <c r="R610" s="165"/>
      <c r="S610" s="165"/>
      <c r="T610" s="159"/>
      <c r="U610" s="160"/>
      <c r="V610" s="165"/>
      <c r="W610" s="165">
        <v>648.96</v>
      </c>
      <c r="X610" s="160"/>
      <c r="Y610" s="166"/>
      <c r="Z610" s="160"/>
      <c r="AA610" s="160"/>
      <c r="AB610" s="165"/>
      <c r="AC610" s="165"/>
      <c r="AD610" s="165"/>
      <c r="AE610" s="165"/>
      <c r="AF610" s="160"/>
      <c r="AG610" s="160"/>
      <c r="AH610" s="160"/>
      <c r="AI610" s="160"/>
      <c r="AJ610" s="161"/>
      <c r="AK610" s="162"/>
      <c r="AL610" s="165"/>
      <c r="AM610" s="166"/>
      <c r="AN610" s="165"/>
      <c r="AO610" s="160"/>
      <c r="AP610" s="162"/>
      <c r="AQ610" s="161"/>
      <c r="AR610" s="162"/>
      <c r="AS610" s="161"/>
      <c r="AT610" s="165"/>
      <c r="AU610" s="166"/>
      <c r="AV610" s="165"/>
      <c r="AW610" s="166"/>
      <c r="AX610" s="165"/>
      <c r="AY610" s="165"/>
      <c r="AZ610" s="165"/>
      <c r="BA610" s="165"/>
      <c r="BB610" s="166"/>
      <c r="BC610" s="165"/>
      <c r="BD610" s="165"/>
      <c r="BE610" s="165"/>
      <c r="BF610" s="165"/>
      <c r="BG610" s="165"/>
      <c r="BH610" s="165"/>
      <c r="BI610" s="165"/>
      <c r="BJ610" s="166"/>
      <c r="BK610" s="165"/>
      <c r="BL610" s="165"/>
      <c r="BM610" s="163"/>
      <c r="BN610" s="165"/>
      <c r="BO610" s="165"/>
      <c r="BP610" s="165"/>
      <c r="BQ610" s="167"/>
    </row>
    <row r="611" spans="1:69" ht="39.950000000000003" customHeight="1" outlineLevel="1" x14ac:dyDescent="0.3">
      <c r="A611" s="15" t="s">
        <v>741</v>
      </c>
      <c r="B611" s="14" t="s">
        <v>810</v>
      </c>
      <c r="C611" s="9" t="s">
        <v>30</v>
      </c>
      <c r="D611" s="66" t="s">
        <v>811</v>
      </c>
      <c r="E611" s="158">
        <f t="shared" si="124"/>
        <v>149.76</v>
      </c>
      <c r="F611" s="159">
        <f t="shared" si="127"/>
        <v>0</v>
      </c>
      <c r="G611" s="160">
        <f t="shared" si="128"/>
        <v>149.76</v>
      </c>
      <c r="H611" s="166"/>
      <c r="I611" s="165"/>
      <c r="J611" s="160"/>
      <c r="K611" s="160"/>
      <c r="L611" s="166"/>
      <c r="M611" s="165"/>
      <c r="N611" s="165"/>
      <c r="O611" s="165"/>
      <c r="P611" s="160"/>
      <c r="Q611" s="166"/>
      <c r="R611" s="165"/>
      <c r="S611" s="165"/>
      <c r="T611" s="159"/>
      <c r="U611" s="160"/>
      <c r="V611" s="165"/>
      <c r="W611" s="165">
        <v>149.76</v>
      </c>
      <c r="X611" s="160"/>
      <c r="Y611" s="166"/>
      <c r="Z611" s="160"/>
      <c r="AA611" s="160"/>
      <c r="AB611" s="165"/>
      <c r="AC611" s="165"/>
      <c r="AD611" s="165"/>
      <c r="AE611" s="165"/>
      <c r="AF611" s="160"/>
      <c r="AG611" s="160"/>
      <c r="AH611" s="160"/>
      <c r="AI611" s="160"/>
      <c r="AJ611" s="161"/>
      <c r="AK611" s="162"/>
      <c r="AL611" s="165"/>
      <c r="AM611" s="166"/>
      <c r="AN611" s="165"/>
      <c r="AO611" s="160"/>
      <c r="AP611" s="162"/>
      <c r="AQ611" s="161"/>
      <c r="AR611" s="162"/>
      <c r="AS611" s="161"/>
      <c r="AT611" s="165"/>
      <c r="AU611" s="166"/>
      <c r="AV611" s="165"/>
      <c r="AW611" s="166"/>
      <c r="AX611" s="165"/>
      <c r="AY611" s="165"/>
      <c r="AZ611" s="165"/>
      <c r="BA611" s="165"/>
      <c r="BB611" s="166"/>
      <c r="BC611" s="165"/>
      <c r="BD611" s="165"/>
      <c r="BE611" s="165"/>
      <c r="BF611" s="165"/>
      <c r="BG611" s="165"/>
      <c r="BH611" s="165"/>
      <c r="BI611" s="165"/>
      <c r="BJ611" s="166"/>
      <c r="BK611" s="165"/>
      <c r="BL611" s="165"/>
      <c r="BM611" s="163"/>
      <c r="BN611" s="165"/>
      <c r="BO611" s="165"/>
      <c r="BP611" s="165"/>
      <c r="BQ611" s="167"/>
    </row>
    <row r="612" spans="1:69" ht="39.950000000000003" customHeight="1" outlineLevel="1" x14ac:dyDescent="0.3">
      <c r="A612" s="15" t="s">
        <v>741</v>
      </c>
      <c r="B612" s="14" t="s">
        <v>1145</v>
      </c>
      <c r="C612" s="9" t="s">
        <v>30</v>
      </c>
      <c r="D612" s="9" t="s">
        <v>1231</v>
      </c>
      <c r="E612" s="158">
        <f t="shared" si="124"/>
        <v>291.2</v>
      </c>
      <c r="F612" s="159">
        <f t="shared" si="127"/>
        <v>0</v>
      </c>
      <c r="G612" s="160">
        <f t="shared" si="128"/>
        <v>291.2</v>
      </c>
      <c r="H612" s="166"/>
      <c r="I612" s="165"/>
      <c r="J612" s="160"/>
      <c r="K612" s="160"/>
      <c r="L612" s="166"/>
      <c r="M612" s="165"/>
      <c r="N612" s="165"/>
      <c r="O612" s="165"/>
      <c r="P612" s="160"/>
      <c r="Q612" s="166"/>
      <c r="R612" s="165"/>
      <c r="S612" s="165"/>
      <c r="T612" s="159"/>
      <c r="U612" s="160"/>
      <c r="V612" s="165"/>
      <c r="W612" s="165">
        <v>291.2</v>
      </c>
      <c r="X612" s="160"/>
      <c r="Y612" s="166"/>
      <c r="Z612" s="160"/>
      <c r="AA612" s="160"/>
      <c r="AB612" s="165"/>
      <c r="AC612" s="165"/>
      <c r="AD612" s="165"/>
      <c r="AE612" s="165"/>
      <c r="AF612" s="160"/>
      <c r="AG612" s="160"/>
      <c r="AH612" s="160"/>
      <c r="AI612" s="160"/>
      <c r="AJ612" s="161"/>
      <c r="AK612" s="162"/>
      <c r="AL612" s="165"/>
      <c r="AM612" s="166"/>
      <c r="AN612" s="165"/>
      <c r="AO612" s="160"/>
      <c r="AP612" s="162"/>
      <c r="AQ612" s="161"/>
      <c r="AR612" s="162"/>
      <c r="AS612" s="161"/>
      <c r="AT612" s="165"/>
      <c r="AU612" s="166"/>
      <c r="AV612" s="165"/>
      <c r="AW612" s="166"/>
      <c r="AX612" s="165"/>
      <c r="AY612" s="165"/>
      <c r="AZ612" s="165"/>
      <c r="BA612" s="165"/>
      <c r="BB612" s="166"/>
      <c r="BC612" s="165"/>
      <c r="BD612" s="165"/>
      <c r="BE612" s="165"/>
      <c r="BF612" s="165"/>
      <c r="BG612" s="165"/>
      <c r="BH612" s="165"/>
      <c r="BI612" s="165"/>
      <c r="BJ612" s="166"/>
      <c r="BK612" s="165"/>
      <c r="BL612" s="165"/>
      <c r="BM612" s="163"/>
      <c r="BN612" s="165"/>
      <c r="BO612" s="165"/>
      <c r="BP612" s="165"/>
      <c r="BQ612" s="167"/>
    </row>
    <row r="613" spans="1:69" ht="39.950000000000003" customHeight="1" outlineLevel="1" x14ac:dyDescent="0.3">
      <c r="A613" s="15" t="s">
        <v>741</v>
      </c>
      <c r="B613" s="14" t="s">
        <v>1127</v>
      </c>
      <c r="C613" s="9" t="s">
        <v>30</v>
      </c>
      <c r="D613" s="9" t="s">
        <v>1232</v>
      </c>
      <c r="E613" s="158">
        <f t="shared" si="124"/>
        <v>58.24</v>
      </c>
      <c r="F613" s="159">
        <f t="shared" si="127"/>
        <v>0</v>
      </c>
      <c r="G613" s="160">
        <f t="shared" si="128"/>
        <v>58.24</v>
      </c>
      <c r="H613" s="166"/>
      <c r="I613" s="165"/>
      <c r="J613" s="160"/>
      <c r="K613" s="160"/>
      <c r="L613" s="166"/>
      <c r="M613" s="165"/>
      <c r="N613" s="165"/>
      <c r="O613" s="165"/>
      <c r="P613" s="160"/>
      <c r="Q613" s="166"/>
      <c r="R613" s="165"/>
      <c r="S613" s="165"/>
      <c r="T613" s="159"/>
      <c r="U613" s="160"/>
      <c r="V613" s="165"/>
      <c r="W613" s="165">
        <v>58.24</v>
      </c>
      <c r="X613" s="160"/>
      <c r="Y613" s="166"/>
      <c r="Z613" s="160"/>
      <c r="AA613" s="160"/>
      <c r="AB613" s="165"/>
      <c r="AC613" s="165"/>
      <c r="AD613" s="165"/>
      <c r="AE613" s="165"/>
      <c r="AF613" s="160"/>
      <c r="AG613" s="160"/>
      <c r="AH613" s="160"/>
      <c r="AI613" s="160"/>
      <c r="AJ613" s="161"/>
      <c r="AK613" s="162"/>
      <c r="AL613" s="165"/>
      <c r="AM613" s="166"/>
      <c r="AN613" s="165"/>
      <c r="AO613" s="160"/>
      <c r="AP613" s="162"/>
      <c r="AQ613" s="161"/>
      <c r="AR613" s="162"/>
      <c r="AS613" s="161"/>
      <c r="AT613" s="165"/>
      <c r="AU613" s="166"/>
      <c r="AV613" s="165"/>
      <c r="AW613" s="166"/>
      <c r="AX613" s="165"/>
      <c r="AY613" s="165"/>
      <c r="AZ613" s="165"/>
      <c r="BA613" s="165"/>
      <c r="BB613" s="166"/>
      <c r="BC613" s="165"/>
      <c r="BD613" s="165"/>
      <c r="BE613" s="165"/>
      <c r="BF613" s="165"/>
      <c r="BG613" s="165"/>
      <c r="BH613" s="165"/>
      <c r="BI613" s="165"/>
      <c r="BJ613" s="166"/>
      <c r="BK613" s="165"/>
      <c r="BL613" s="165"/>
      <c r="BM613" s="163"/>
      <c r="BN613" s="165"/>
      <c r="BO613" s="165"/>
      <c r="BP613" s="165"/>
      <c r="BQ613" s="167"/>
    </row>
    <row r="614" spans="1:69" ht="39.950000000000003" customHeight="1" outlineLevel="1" x14ac:dyDescent="0.3">
      <c r="A614" s="15" t="s">
        <v>741</v>
      </c>
      <c r="B614" s="14" t="s">
        <v>1542</v>
      </c>
      <c r="C614" s="9" t="s">
        <v>30</v>
      </c>
      <c r="D614" s="9" t="s">
        <v>1579</v>
      </c>
      <c r="E614" s="158">
        <f t="shared" si="124"/>
        <v>2763</v>
      </c>
      <c r="F614" s="159">
        <f t="shared" si="127"/>
        <v>2624.85</v>
      </c>
      <c r="G614" s="160">
        <f t="shared" si="128"/>
        <v>138.15</v>
      </c>
      <c r="H614" s="166"/>
      <c r="I614" s="165"/>
      <c r="J614" s="160"/>
      <c r="K614" s="160"/>
      <c r="L614" s="166"/>
      <c r="M614" s="165"/>
      <c r="N614" s="165"/>
      <c r="O614" s="165"/>
      <c r="P614" s="160"/>
      <c r="Q614" s="166"/>
      <c r="R614" s="165"/>
      <c r="S614" s="165"/>
      <c r="T614" s="159"/>
      <c r="U614" s="160"/>
      <c r="V614" s="165"/>
      <c r="W614" s="165"/>
      <c r="X614" s="160"/>
      <c r="Y614" s="166"/>
      <c r="Z614" s="160"/>
      <c r="AA614" s="160"/>
      <c r="AB614" s="165"/>
      <c r="AC614" s="165"/>
      <c r="AD614" s="165"/>
      <c r="AE614" s="165"/>
      <c r="AF614" s="160"/>
      <c r="AG614" s="160"/>
      <c r="AH614" s="160"/>
      <c r="AI614" s="160"/>
      <c r="AJ614" s="161"/>
      <c r="AK614" s="162"/>
      <c r="AL614" s="165"/>
      <c r="AM614" s="166">
        <v>2624.85</v>
      </c>
      <c r="AN614" s="165">
        <v>138.15</v>
      </c>
      <c r="AO614" s="160"/>
      <c r="AP614" s="162"/>
      <c r="AQ614" s="161"/>
      <c r="AR614" s="162"/>
      <c r="AS614" s="161"/>
      <c r="AT614" s="165"/>
      <c r="AU614" s="166"/>
      <c r="AV614" s="165"/>
      <c r="AW614" s="166"/>
      <c r="AX614" s="165"/>
      <c r="AY614" s="165"/>
      <c r="AZ614" s="165"/>
      <c r="BA614" s="165"/>
      <c r="BB614" s="166"/>
      <c r="BC614" s="165"/>
      <c r="BD614" s="165"/>
      <c r="BE614" s="165"/>
      <c r="BF614" s="165"/>
      <c r="BG614" s="165"/>
      <c r="BH614" s="165"/>
      <c r="BI614" s="165"/>
      <c r="BJ614" s="166"/>
      <c r="BK614" s="165"/>
      <c r="BL614" s="165"/>
      <c r="BM614" s="163"/>
      <c r="BN614" s="165"/>
      <c r="BO614" s="165"/>
      <c r="BP614" s="165"/>
      <c r="BQ614" s="167"/>
    </row>
    <row r="615" spans="1:69" ht="39.950000000000003" customHeight="1" outlineLevel="1" x14ac:dyDescent="0.3">
      <c r="A615" s="15" t="s">
        <v>741</v>
      </c>
      <c r="B615" s="14" t="s">
        <v>812</v>
      </c>
      <c r="C615" s="9" t="s">
        <v>30</v>
      </c>
      <c r="D615" s="66" t="s">
        <v>813</v>
      </c>
      <c r="E615" s="158">
        <f t="shared" si="124"/>
        <v>73.600009999999997</v>
      </c>
      <c r="F615" s="159">
        <f t="shared" si="127"/>
        <v>28.66807</v>
      </c>
      <c r="G615" s="160">
        <f t="shared" si="128"/>
        <v>44.931939999999997</v>
      </c>
      <c r="H615" s="166"/>
      <c r="I615" s="165"/>
      <c r="J615" s="160"/>
      <c r="K615" s="160"/>
      <c r="L615" s="166">
        <v>28.66807</v>
      </c>
      <c r="M615" s="165">
        <v>44.931939999999997</v>
      </c>
      <c r="N615" s="165"/>
      <c r="O615" s="165"/>
      <c r="P615" s="160"/>
      <c r="Q615" s="166"/>
      <c r="R615" s="165"/>
      <c r="S615" s="165"/>
      <c r="T615" s="159"/>
      <c r="U615" s="160"/>
      <c r="V615" s="165"/>
      <c r="W615" s="165"/>
      <c r="X615" s="160"/>
      <c r="Y615" s="166"/>
      <c r="Z615" s="160"/>
      <c r="AA615" s="160"/>
      <c r="AB615" s="165"/>
      <c r="AC615" s="165"/>
      <c r="AD615" s="165"/>
      <c r="AE615" s="165"/>
      <c r="AF615" s="160"/>
      <c r="AG615" s="160"/>
      <c r="AH615" s="160"/>
      <c r="AI615" s="160"/>
      <c r="AJ615" s="161"/>
      <c r="AK615" s="162"/>
      <c r="AL615" s="165"/>
      <c r="AM615" s="166"/>
      <c r="AN615" s="165"/>
      <c r="AO615" s="160"/>
      <c r="AP615" s="162"/>
      <c r="AQ615" s="161"/>
      <c r="AR615" s="162"/>
      <c r="AS615" s="161"/>
      <c r="AT615" s="165"/>
      <c r="AU615" s="166"/>
      <c r="AV615" s="165"/>
      <c r="AW615" s="166"/>
      <c r="AX615" s="165"/>
      <c r="AY615" s="165"/>
      <c r="AZ615" s="165"/>
      <c r="BA615" s="165"/>
      <c r="BB615" s="166"/>
      <c r="BC615" s="165"/>
      <c r="BD615" s="165"/>
      <c r="BE615" s="165"/>
      <c r="BF615" s="165"/>
      <c r="BG615" s="165"/>
      <c r="BH615" s="165"/>
      <c r="BI615" s="165"/>
      <c r="BJ615" s="166"/>
      <c r="BK615" s="165"/>
      <c r="BL615" s="165"/>
      <c r="BM615" s="163"/>
      <c r="BN615" s="165"/>
      <c r="BO615" s="165"/>
      <c r="BP615" s="165"/>
      <c r="BQ615" s="167"/>
    </row>
    <row r="616" spans="1:69" ht="39.950000000000003" customHeight="1" outlineLevel="1" x14ac:dyDescent="0.3">
      <c r="A616" s="15" t="s">
        <v>741</v>
      </c>
      <c r="B616" s="14" t="s">
        <v>1407</v>
      </c>
      <c r="C616" s="9" t="s">
        <v>30</v>
      </c>
      <c r="D616" s="66">
        <v>242903541118</v>
      </c>
      <c r="E616" s="158">
        <f t="shared" si="124"/>
        <v>2999.7</v>
      </c>
      <c r="F616" s="159">
        <f t="shared" si="127"/>
        <v>0</v>
      </c>
      <c r="G616" s="160">
        <f t="shared" si="128"/>
        <v>2999.7</v>
      </c>
      <c r="H616" s="166"/>
      <c r="I616" s="165"/>
      <c r="J616" s="160"/>
      <c r="K616" s="160"/>
      <c r="L616" s="166"/>
      <c r="M616" s="165"/>
      <c r="N616" s="165"/>
      <c r="O616" s="165"/>
      <c r="P616" s="160"/>
      <c r="Q616" s="166"/>
      <c r="R616" s="165"/>
      <c r="S616" s="165"/>
      <c r="T616" s="159"/>
      <c r="U616" s="160"/>
      <c r="V616" s="165"/>
      <c r="W616" s="165"/>
      <c r="X616" s="160"/>
      <c r="Y616" s="166"/>
      <c r="Z616" s="160"/>
      <c r="AA616" s="160"/>
      <c r="AB616" s="165"/>
      <c r="AC616" s="165"/>
      <c r="AD616" s="165"/>
      <c r="AE616" s="165"/>
      <c r="AF616" s="160"/>
      <c r="AG616" s="160"/>
      <c r="AH616" s="160"/>
      <c r="AI616" s="160"/>
      <c r="AJ616" s="161">
        <v>2999.7</v>
      </c>
      <c r="AK616" s="162"/>
      <c r="AL616" s="165"/>
      <c r="AM616" s="166"/>
      <c r="AN616" s="165"/>
      <c r="AO616" s="160"/>
      <c r="AP616" s="162"/>
      <c r="AQ616" s="161"/>
      <c r="AR616" s="162"/>
      <c r="AS616" s="161"/>
      <c r="AT616" s="165"/>
      <c r="AU616" s="166"/>
      <c r="AV616" s="165"/>
      <c r="AW616" s="166"/>
      <c r="AX616" s="165"/>
      <c r="AY616" s="165"/>
      <c r="AZ616" s="165"/>
      <c r="BA616" s="165"/>
      <c r="BB616" s="166"/>
      <c r="BC616" s="165"/>
      <c r="BD616" s="165"/>
      <c r="BE616" s="165"/>
      <c r="BF616" s="165"/>
      <c r="BG616" s="165"/>
      <c r="BH616" s="165"/>
      <c r="BI616" s="165"/>
      <c r="BJ616" s="166"/>
      <c r="BK616" s="165"/>
      <c r="BL616" s="165"/>
      <c r="BM616" s="163"/>
      <c r="BN616" s="165"/>
      <c r="BO616" s="165"/>
      <c r="BP616" s="165"/>
      <c r="BQ616" s="167"/>
    </row>
    <row r="617" spans="1:69" ht="39.950000000000003" customHeight="1" outlineLevel="1" x14ac:dyDescent="0.3">
      <c r="A617" s="15" t="s">
        <v>741</v>
      </c>
      <c r="B617" s="14" t="s">
        <v>814</v>
      </c>
      <c r="C617" s="9" t="s">
        <v>30</v>
      </c>
      <c r="D617" s="66" t="s">
        <v>815</v>
      </c>
      <c r="E617" s="158">
        <f t="shared" si="124"/>
        <v>732.84536000000003</v>
      </c>
      <c r="F617" s="159">
        <f t="shared" si="127"/>
        <v>241.31334999999999</v>
      </c>
      <c r="G617" s="160">
        <f t="shared" si="128"/>
        <v>491.53201000000001</v>
      </c>
      <c r="H617" s="166">
        <v>178.58924999999999</v>
      </c>
      <c r="I617" s="165">
        <v>59.52975</v>
      </c>
      <c r="J617" s="160"/>
      <c r="K617" s="160"/>
      <c r="L617" s="166">
        <v>62.7241</v>
      </c>
      <c r="M617" s="165">
        <v>98.308509999999998</v>
      </c>
      <c r="N617" s="165"/>
      <c r="O617" s="165"/>
      <c r="P617" s="160"/>
      <c r="Q617" s="166"/>
      <c r="R617" s="165"/>
      <c r="S617" s="165"/>
      <c r="T617" s="159"/>
      <c r="U617" s="160"/>
      <c r="V617" s="165"/>
      <c r="W617" s="165"/>
      <c r="X617" s="160"/>
      <c r="Y617" s="166"/>
      <c r="Z617" s="160"/>
      <c r="AA617" s="160"/>
      <c r="AB617" s="165"/>
      <c r="AC617" s="165"/>
      <c r="AD617" s="165"/>
      <c r="AE617" s="165"/>
      <c r="AF617" s="160"/>
      <c r="AG617" s="160"/>
      <c r="AH617" s="160"/>
      <c r="AI617" s="160"/>
      <c r="AJ617" s="161"/>
      <c r="AK617" s="162"/>
      <c r="AL617" s="165"/>
      <c r="AM617" s="166"/>
      <c r="AN617" s="165"/>
      <c r="AO617" s="160"/>
      <c r="AP617" s="162"/>
      <c r="AQ617" s="161"/>
      <c r="AR617" s="162"/>
      <c r="AS617" s="161"/>
      <c r="AT617" s="165"/>
      <c r="AU617" s="166"/>
      <c r="AV617" s="165"/>
      <c r="AW617" s="166"/>
      <c r="AX617" s="165"/>
      <c r="AY617" s="165"/>
      <c r="AZ617" s="165"/>
      <c r="BA617" s="165"/>
      <c r="BB617" s="166"/>
      <c r="BC617" s="165"/>
      <c r="BD617" s="165"/>
      <c r="BE617" s="165"/>
      <c r="BF617" s="165"/>
      <c r="BG617" s="165"/>
      <c r="BH617" s="165">
        <v>333.69375000000002</v>
      </c>
      <c r="BI617" s="165"/>
      <c r="BJ617" s="166"/>
      <c r="BK617" s="165"/>
      <c r="BL617" s="165"/>
      <c r="BM617" s="163"/>
      <c r="BN617" s="165"/>
      <c r="BO617" s="165"/>
      <c r="BP617" s="165"/>
      <c r="BQ617" s="167"/>
    </row>
    <row r="618" spans="1:69" ht="39.950000000000003" customHeight="1" outlineLevel="1" x14ac:dyDescent="0.3">
      <c r="A618" s="15" t="s">
        <v>741</v>
      </c>
      <c r="B618" s="14" t="s">
        <v>1297</v>
      </c>
      <c r="C618" s="9" t="s">
        <v>30</v>
      </c>
      <c r="D618" s="66" t="s">
        <v>816</v>
      </c>
      <c r="E618" s="158">
        <f t="shared" si="124"/>
        <v>469.11126000000002</v>
      </c>
      <c r="F618" s="159">
        <f t="shared" si="127"/>
        <v>228.11054000000001</v>
      </c>
      <c r="G618" s="160">
        <f t="shared" si="128"/>
        <v>241.00072</v>
      </c>
      <c r="H618" s="166">
        <v>94.426500000000004</v>
      </c>
      <c r="I618" s="165">
        <v>31.4755</v>
      </c>
      <c r="J618" s="160"/>
      <c r="K618" s="160"/>
      <c r="L618" s="166">
        <v>133.68404000000001</v>
      </c>
      <c r="M618" s="165">
        <v>209.52521999999999</v>
      </c>
      <c r="N618" s="165"/>
      <c r="O618" s="165"/>
      <c r="P618" s="160"/>
      <c r="Q618" s="166"/>
      <c r="R618" s="165"/>
      <c r="S618" s="165"/>
      <c r="T618" s="159"/>
      <c r="U618" s="160"/>
      <c r="V618" s="165"/>
      <c r="W618" s="165"/>
      <c r="X618" s="160"/>
      <c r="Y618" s="166"/>
      <c r="Z618" s="160"/>
      <c r="AA618" s="160"/>
      <c r="AB618" s="165"/>
      <c r="AC618" s="165"/>
      <c r="AD618" s="165"/>
      <c r="AE618" s="165"/>
      <c r="AF618" s="160"/>
      <c r="AG618" s="160"/>
      <c r="AH618" s="160"/>
      <c r="AI618" s="160"/>
      <c r="AJ618" s="161"/>
      <c r="AK618" s="162"/>
      <c r="AL618" s="165"/>
      <c r="AM618" s="166"/>
      <c r="AN618" s="165"/>
      <c r="AO618" s="160"/>
      <c r="AP618" s="162"/>
      <c r="AQ618" s="161"/>
      <c r="AR618" s="162"/>
      <c r="AS618" s="161"/>
      <c r="AT618" s="165"/>
      <c r="AU618" s="166"/>
      <c r="AV618" s="165"/>
      <c r="AW618" s="166"/>
      <c r="AX618" s="165"/>
      <c r="AY618" s="165"/>
      <c r="AZ618" s="165"/>
      <c r="BA618" s="165"/>
      <c r="BB618" s="166"/>
      <c r="BC618" s="165"/>
      <c r="BD618" s="165"/>
      <c r="BE618" s="165"/>
      <c r="BF618" s="165"/>
      <c r="BG618" s="165"/>
      <c r="BH618" s="165"/>
      <c r="BI618" s="165"/>
      <c r="BJ618" s="166"/>
      <c r="BK618" s="165"/>
      <c r="BL618" s="165"/>
      <c r="BM618" s="163"/>
      <c r="BN618" s="165"/>
      <c r="BO618" s="165"/>
      <c r="BP618" s="165"/>
      <c r="BQ618" s="167"/>
    </row>
    <row r="619" spans="1:69" ht="39.950000000000003" customHeight="1" outlineLevel="1" x14ac:dyDescent="0.3">
      <c r="A619" s="15" t="s">
        <v>741</v>
      </c>
      <c r="B619" s="14" t="s">
        <v>817</v>
      </c>
      <c r="C619" s="9" t="s">
        <v>30</v>
      </c>
      <c r="D619" s="66" t="s">
        <v>818</v>
      </c>
      <c r="E619" s="158">
        <f t="shared" si="124"/>
        <v>693.81049000000007</v>
      </c>
      <c r="F619" s="159">
        <f t="shared" si="127"/>
        <v>232.61926</v>
      </c>
      <c r="G619" s="160">
        <f t="shared" si="128"/>
        <v>461.19123000000002</v>
      </c>
      <c r="H619" s="166">
        <v>178.58924999999999</v>
      </c>
      <c r="I619" s="165">
        <v>59.52975</v>
      </c>
      <c r="J619" s="160"/>
      <c r="K619" s="160"/>
      <c r="L619" s="166">
        <v>54.030009999999997</v>
      </c>
      <c r="M619" s="165">
        <v>84.682130000000001</v>
      </c>
      <c r="N619" s="165"/>
      <c r="O619" s="165"/>
      <c r="P619" s="160"/>
      <c r="Q619" s="166"/>
      <c r="R619" s="165"/>
      <c r="S619" s="165"/>
      <c r="T619" s="159"/>
      <c r="U619" s="160"/>
      <c r="V619" s="165"/>
      <c r="W619" s="165"/>
      <c r="X619" s="160"/>
      <c r="Y619" s="166"/>
      <c r="Z619" s="160"/>
      <c r="AA619" s="160"/>
      <c r="AB619" s="165"/>
      <c r="AC619" s="165"/>
      <c r="AD619" s="165"/>
      <c r="AE619" s="165"/>
      <c r="AF619" s="160"/>
      <c r="AG619" s="160">
        <f>7.39839+0.53511</f>
        <v>7.9335000000000004</v>
      </c>
      <c r="AH619" s="160"/>
      <c r="AI619" s="160"/>
      <c r="AJ619" s="161"/>
      <c r="AK619" s="162"/>
      <c r="AL619" s="165"/>
      <c r="AM619" s="166"/>
      <c r="AN619" s="165"/>
      <c r="AO619" s="160"/>
      <c r="AP619" s="162"/>
      <c r="AQ619" s="161"/>
      <c r="AR619" s="162"/>
      <c r="AS619" s="161"/>
      <c r="AT619" s="165"/>
      <c r="AU619" s="166"/>
      <c r="AV619" s="165"/>
      <c r="AW619" s="166"/>
      <c r="AX619" s="165"/>
      <c r="AY619" s="165"/>
      <c r="AZ619" s="165"/>
      <c r="BA619" s="165"/>
      <c r="BB619" s="166"/>
      <c r="BC619" s="165"/>
      <c r="BD619" s="165"/>
      <c r="BE619" s="165">
        <v>309.04584999999997</v>
      </c>
      <c r="BF619" s="165"/>
      <c r="BG619" s="165"/>
      <c r="BH619" s="165"/>
      <c r="BI619" s="165"/>
      <c r="BJ619" s="166"/>
      <c r="BK619" s="165"/>
      <c r="BL619" s="165"/>
      <c r="BM619" s="163"/>
      <c r="BN619" s="165"/>
      <c r="BO619" s="165"/>
      <c r="BP619" s="165"/>
      <c r="BQ619" s="167"/>
    </row>
    <row r="620" spans="1:69" ht="39.950000000000003" customHeight="1" outlineLevel="1" x14ac:dyDescent="0.3">
      <c r="A620" s="15" t="s">
        <v>741</v>
      </c>
      <c r="B620" s="14" t="s">
        <v>819</v>
      </c>
      <c r="C620" s="9" t="s">
        <v>30</v>
      </c>
      <c r="D620" s="66" t="s">
        <v>820</v>
      </c>
      <c r="E620" s="158">
        <f t="shared" si="124"/>
        <v>948.22486000000004</v>
      </c>
      <c r="F620" s="159">
        <f t="shared" si="127"/>
        <v>80.032589999999999</v>
      </c>
      <c r="G620" s="160">
        <f t="shared" si="128"/>
        <v>868.19227000000001</v>
      </c>
      <c r="H620" s="166"/>
      <c r="I620" s="165"/>
      <c r="J620" s="160"/>
      <c r="K620" s="160"/>
      <c r="L620" s="166">
        <v>80.032589999999999</v>
      </c>
      <c r="M620" s="165">
        <v>125.43640000000001</v>
      </c>
      <c r="N620" s="165"/>
      <c r="O620" s="165"/>
      <c r="P620" s="160"/>
      <c r="Q620" s="166"/>
      <c r="R620" s="165"/>
      <c r="S620" s="165"/>
      <c r="T620" s="159"/>
      <c r="U620" s="160"/>
      <c r="V620" s="165"/>
      <c r="W620" s="165"/>
      <c r="X620" s="160"/>
      <c r="Y620" s="166"/>
      <c r="Z620" s="160"/>
      <c r="AA620" s="160"/>
      <c r="AB620" s="165"/>
      <c r="AC620" s="165"/>
      <c r="AD620" s="165"/>
      <c r="AE620" s="165"/>
      <c r="AF620" s="160"/>
      <c r="AG620" s="160">
        <f>1.17796+6.65651+0.50963</f>
        <v>8.3440999999999992</v>
      </c>
      <c r="AH620" s="160"/>
      <c r="AI620" s="160"/>
      <c r="AJ620" s="161"/>
      <c r="AK620" s="162"/>
      <c r="AL620" s="165"/>
      <c r="AM620" s="166"/>
      <c r="AN620" s="165"/>
      <c r="AO620" s="160"/>
      <c r="AP620" s="162"/>
      <c r="AQ620" s="161"/>
      <c r="AR620" s="162"/>
      <c r="AS620" s="161"/>
      <c r="AT620" s="165"/>
      <c r="AU620" s="166"/>
      <c r="AV620" s="165"/>
      <c r="AW620" s="166"/>
      <c r="AX620" s="165"/>
      <c r="AY620" s="165"/>
      <c r="AZ620" s="165"/>
      <c r="BA620" s="165"/>
      <c r="BB620" s="166"/>
      <c r="BC620" s="165"/>
      <c r="BD620" s="165"/>
      <c r="BE620" s="165">
        <v>734.41177000000005</v>
      </c>
      <c r="BF620" s="165"/>
      <c r="BG620" s="165"/>
      <c r="BH620" s="165"/>
      <c r="BI620" s="165"/>
      <c r="BJ620" s="166"/>
      <c r="BK620" s="165"/>
      <c r="BL620" s="165"/>
      <c r="BM620" s="163"/>
      <c r="BN620" s="165"/>
      <c r="BO620" s="165"/>
      <c r="BP620" s="165"/>
      <c r="BQ620" s="167"/>
    </row>
    <row r="621" spans="1:69" ht="39.950000000000003" customHeight="1" outlineLevel="1" x14ac:dyDescent="0.3">
      <c r="A621" s="15" t="s">
        <v>741</v>
      </c>
      <c r="B621" s="14" t="s">
        <v>821</v>
      </c>
      <c r="C621" s="9" t="s">
        <v>30</v>
      </c>
      <c r="D621" s="66" t="s">
        <v>822</v>
      </c>
      <c r="E621" s="158">
        <f t="shared" si="124"/>
        <v>334.27749</v>
      </c>
      <c r="F621" s="159">
        <f t="shared" si="127"/>
        <v>92.758039999999994</v>
      </c>
      <c r="G621" s="160">
        <f t="shared" si="128"/>
        <v>241.51945000000001</v>
      </c>
      <c r="H621" s="166"/>
      <c r="I621" s="165"/>
      <c r="J621" s="160"/>
      <c r="K621" s="160"/>
      <c r="L621" s="166">
        <v>92.758039999999994</v>
      </c>
      <c r="M621" s="165">
        <v>145.38122000000001</v>
      </c>
      <c r="N621" s="165"/>
      <c r="O621" s="165"/>
      <c r="P621" s="160"/>
      <c r="Q621" s="166"/>
      <c r="R621" s="165"/>
      <c r="S621" s="165"/>
      <c r="T621" s="159"/>
      <c r="U621" s="160"/>
      <c r="V621" s="165"/>
      <c r="W621" s="165"/>
      <c r="X621" s="160"/>
      <c r="Y621" s="166"/>
      <c r="Z621" s="160"/>
      <c r="AA621" s="160"/>
      <c r="AB621" s="165"/>
      <c r="AC621" s="165"/>
      <c r="AD621" s="165"/>
      <c r="AE621" s="165"/>
      <c r="AF621" s="160"/>
      <c r="AG621" s="160">
        <f>5.59174+0.60771</f>
        <v>6.1994499999999997</v>
      </c>
      <c r="AH621" s="160"/>
      <c r="AI621" s="160"/>
      <c r="AJ621" s="161"/>
      <c r="AK621" s="162"/>
      <c r="AL621" s="165"/>
      <c r="AM621" s="166"/>
      <c r="AN621" s="165"/>
      <c r="AO621" s="160"/>
      <c r="AP621" s="162"/>
      <c r="AQ621" s="161"/>
      <c r="AR621" s="162"/>
      <c r="AS621" s="161"/>
      <c r="AT621" s="165"/>
      <c r="AU621" s="166"/>
      <c r="AV621" s="165"/>
      <c r="AW621" s="166"/>
      <c r="AX621" s="165"/>
      <c r="AY621" s="165"/>
      <c r="AZ621" s="165"/>
      <c r="BA621" s="165">
        <v>89.938779999999994</v>
      </c>
      <c r="BB621" s="166"/>
      <c r="BC621" s="165"/>
      <c r="BD621" s="165"/>
      <c r="BE621" s="165"/>
      <c r="BF621" s="165"/>
      <c r="BG621" s="165"/>
      <c r="BH621" s="165"/>
      <c r="BI621" s="165"/>
      <c r="BJ621" s="166"/>
      <c r="BK621" s="165"/>
      <c r="BL621" s="165"/>
      <c r="BM621" s="163"/>
      <c r="BN621" s="165"/>
      <c r="BO621" s="165"/>
      <c r="BP621" s="165"/>
      <c r="BQ621" s="167"/>
    </row>
    <row r="622" spans="1:69" ht="39.950000000000003" customHeight="1" outlineLevel="1" x14ac:dyDescent="0.3">
      <c r="A622" s="15" t="s">
        <v>741</v>
      </c>
      <c r="B622" s="14" t="s">
        <v>823</v>
      </c>
      <c r="C622" s="9" t="s">
        <v>30</v>
      </c>
      <c r="D622" s="66" t="s">
        <v>824</v>
      </c>
      <c r="E622" s="158">
        <f t="shared" si="124"/>
        <v>2786.8110200000001</v>
      </c>
      <c r="F622" s="159">
        <f t="shared" si="127"/>
        <v>93.783140000000003</v>
      </c>
      <c r="G622" s="160">
        <f t="shared" si="128"/>
        <v>2693.0278800000001</v>
      </c>
      <c r="H622" s="166"/>
      <c r="I622" s="165"/>
      <c r="J622" s="160"/>
      <c r="K622" s="160"/>
      <c r="L622" s="166">
        <v>93.783140000000003</v>
      </c>
      <c r="M622" s="165">
        <v>146.98787999999999</v>
      </c>
      <c r="N622" s="165"/>
      <c r="O622" s="165"/>
      <c r="P622" s="160"/>
      <c r="Q622" s="166"/>
      <c r="R622" s="165"/>
      <c r="S622" s="165"/>
      <c r="T622" s="159"/>
      <c r="U622" s="160"/>
      <c r="V622" s="165"/>
      <c r="W622" s="165"/>
      <c r="X622" s="160"/>
      <c r="Y622" s="166"/>
      <c r="Z622" s="160"/>
      <c r="AA622" s="160"/>
      <c r="AB622" s="165"/>
      <c r="AC622" s="165"/>
      <c r="AD622" s="165"/>
      <c r="AE622" s="165"/>
      <c r="AF622" s="160"/>
      <c r="AG622" s="160"/>
      <c r="AH622" s="160"/>
      <c r="AI622" s="160"/>
      <c r="AJ622" s="161"/>
      <c r="AK622" s="162"/>
      <c r="AL622" s="165"/>
      <c r="AM622" s="166"/>
      <c r="AN622" s="165"/>
      <c r="AO622" s="160"/>
      <c r="AP622" s="162"/>
      <c r="AQ622" s="161"/>
      <c r="AR622" s="162"/>
      <c r="AS622" s="161"/>
      <c r="AT622" s="165"/>
      <c r="AU622" s="166"/>
      <c r="AV622" s="165"/>
      <c r="AW622" s="166"/>
      <c r="AX622" s="165"/>
      <c r="AY622" s="165"/>
      <c r="AZ622" s="165"/>
      <c r="BA622" s="165"/>
      <c r="BB622" s="166"/>
      <c r="BC622" s="165"/>
      <c r="BD622" s="165"/>
      <c r="BE622" s="165"/>
      <c r="BF622" s="165"/>
      <c r="BG622" s="165"/>
      <c r="BH622" s="165">
        <v>2546.04</v>
      </c>
      <c r="BI622" s="165"/>
      <c r="BJ622" s="166"/>
      <c r="BK622" s="165"/>
      <c r="BL622" s="165"/>
      <c r="BM622" s="163"/>
      <c r="BN622" s="165"/>
      <c r="BO622" s="165"/>
      <c r="BP622" s="165"/>
      <c r="BQ622" s="167"/>
    </row>
    <row r="623" spans="1:69" ht="39.950000000000003" customHeight="1" outlineLevel="1" x14ac:dyDescent="0.3">
      <c r="A623" s="15" t="s">
        <v>741</v>
      </c>
      <c r="B623" s="14" t="s">
        <v>825</v>
      </c>
      <c r="C623" s="9" t="s">
        <v>30</v>
      </c>
      <c r="D623" s="66" t="s">
        <v>826</v>
      </c>
      <c r="E623" s="158">
        <f t="shared" si="124"/>
        <v>159.48605000000001</v>
      </c>
      <c r="F623" s="159">
        <f t="shared" si="127"/>
        <v>62.121690000000001</v>
      </c>
      <c r="G623" s="160">
        <f t="shared" si="128"/>
        <v>97.364360000000005</v>
      </c>
      <c r="H623" s="166"/>
      <c r="I623" s="165"/>
      <c r="J623" s="160"/>
      <c r="K623" s="160"/>
      <c r="L623" s="166">
        <v>62.121690000000001</v>
      </c>
      <c r="M623" s="165">
        <v>97.364360000000005</v>
      </c>
      <c r="N623" s="165"/>
      <c r="O623" s="165"/>
      <c r="P623" s="160"/>
      <c r="Q623" s="166"/>
      <c r="R623" s="165"/>
      <c r="S623" s="165"/>
      <c r="T623" s="159"/>
      <c r="U623" s="160"/>
      <c r="V623" s="165"/>
      <c r="W623" s="165"/>
      <c r="X623" s="160"/>
      <c r="Y623" s="166"/>
      <c r="Z623" s="160"/>
      <c r="AA623" s="160"/>
      <c r="AB623" s="165"/>
      <c r="AC623" s="165"/>
      <c r="AD623" s="165"/>
      <c r="AE623" s="165"/>
      <c r="AF623" s="160"/>
      <c r="AG623" s="160"/>
      <c r="AH623" s="160"/>
      <c r="AI623" s="160"/>
      <c r="AJ623" s="161"/>
      <c r="AK623" s="162"/>
      <c r="AL623" s="165"/>
      <c r="AM623" s="166"/>
      <c r="AN623" s="165"/>
      <c r="AO623" s="160"/>
      <c r="AP623" s="162"/>
      <c r="AQ623" s="161"/>
      <c r="AR623" s="162"/>
      <c r="AS623" s="161"/>
      <c r="AT623" s="165"/>
      <c r="AU623" s="166"/>
      <c r="AV623" s="165"/>
      <c r="AW623" s="166"/>
      <c r="AX623" s="165"/>
      <c r="AY623" s="165"/>
      <c r="AZ623" s="165"/>
      <c r="BA623" s="165"/>
      <c r="BB623" s="166"/>
      <c r="BC623" s="165"/>
      <c r="BD623" s="165"/>
      <c r="BE623" s="165"/>
      <c r="BF623" s="165"/>
      <c r="BG623" s="165"/>
      <c r="BH623" s="165"/>
      <c r="BI623" s="165"/>
      <c r="BJ623" s="166"/>
      <c r="BK623" s="165"/>
      <c r="BL623" s="165"/>
      <c r="BM623" s="163"/>
      <c r="BN623" s="165"/>
      <c r="BO623" s="165"/>
      <c r="BP623" s="165"/>
      <c r="BQ623" s="167"/>
    </row>
    <row r="624" spans="1:69" ht="39.950000000000003" customHeight="1" outlineLevel="1" x14ac:dyDescent="0.3">
      <c r="A624" s="12" t="s">
        <v>741</v>
      </c>
      <c r="B624" s="10" t="s">
        <v>827</v>
      </c>
      <c r="C624" s="9" t="s">
        <v>30</v>
      </c>
      <c r="D624" s="66" t="s">
        <v>828</v>
      </c>
      <c r="E624" s="158">
        <f t="shared" si="124"/>
        <v>1058.4434000000001</v>
      </c>
      <c r="F624" s="159">
        <f t="shared" si="127"/>
        <v>331.61436000000003</v>
      </c>
      <c r="G624" s="160">
        <f t="shared" si="128"/>
        <v>726.82904000000008</v>
      </c>
      <c r="H624" s="166">
        <v>97.456320000000005</v>
      </c>
      <c r="I624" s="165">
        <v>32.48545</v>
      </c>
      <c r="J624" s="160"/>
      <c r="K624" s="160"/>
      <c r="L624" s="166">
        <v>234.15804</v>
      </c>
      <c r="M624" s="165">
        <v>366.99979000000002</v>
      </c>
      <c r="N624" s="165"/>
      <c r="O624" s="165"/>
      <c r="P624" s="160"/>
      <c r="Q624" s="166"/>
      <c r="R624" s="165"/>
      <c r="S624" s="165"/>
      <c r="T624" s="159"/>
      <c r="U624" s="160"/>
      <c r="V624" s="165"/>
      <c r="W624" s="165"/>
      <c r="X624" s="160"/>
      <c r="Y624" s="166"/>
      <c r="Z624" s="160"/>
      <c r="AA624" s="160"/>
      <c r="AB624" s="165"/>
      <c r="AC624" s="165"/>
      <c r="AD624" s="165"/>
      <c r="AE624" s="165"/>
      <c r="AF624" s="160"/>
      <c r="AG624" s="160"/>
      <c r="AH624" s="160"/>
      <c r="AI624" s="160"/>
      <c r="AJ624" s="161"/>
      <c r="AK624" s="162"/>
      <c r="AL624" s="165"/>
      <c r="AM624" s="166"/>
      <c r="AN624" s="165"/>
      <c r="AO624" s="160"/>
      <c r="AP624" s="162"/>
      <c r="AQ624" s="161"/>
      <c r="AR624" s="162"/>
      <c r="AS624" s="161"/>
      <c r="AT624" s="165"/>
      <c r="AU624" s="166"/>
      <c r="AV624" s="165"/>
      <c r="AW624" s="166"/>
      <c r="AX624" s="165"/>
      <c r="AY624" s="165"/>
      <c r="AZ624" s="165"/>
      <c r="BA624" s="165"/>
      <c r="BB624" s="166"/>
      <c r="BC624" s="165"/>
      <c r="BD624" s="165"/>
      <c r="BE624" s="165"/>
      <c r="BF624" s="165"/>
      <c r="BG624" s="165"/>
      <c r="BH624" s="165"/>
      <c r="BI624" s="165"/>
      <c r="BJ624" s="166"/>
      <c r="BK624" s="165"/>
      <c r="BL624" s="165"/>
      <c r="BM624" s="163"/>
      <c r="BN624" s="165"/>
      <c r="BO624" s="165">
        <v>327.34379999999999</v>
      </c>
      <c r="BP624" s="165"/>
      <c r="BQ624" s="167"/>
    </row>
    <row r="625" spans="1:270" ht="39.950000000000003" customHeight="1" outlineLevel="1" x14ac:dyDescent="0.3">
      <c r="A625" s="15" t="s">
        <v>741</v>
      </c>
      <c r="B625" s="14" t="s">
        <v>829</v>
      </c>
      <c r="C625" s="9" t="s">
        <v>30</v>
      </c>
      <c r="D625" s="66" t="s">
        <v>830</v>
      </c>
      <c r="E625" s="158">
        <f t="shared" si="124"/>
        <v>48.762349999999998</v>
      </c>
      <c r="F625" s="159">
        <f t="shared" si="127"/>
        <v>18.70966</v>
      </c>
      <c r="G625" s="160">
        <f t="shared" si="128"/>
        <v>30.052689999999998</v>
      </c>
      <c r="H625" s="166"/>
      <c r="I625" s="165"/>
      <c r="J625" s="160"/>
      <c r="K625" s="160"/>
      <c r="L625" s="166">
        <v>18.70966</v>
      </c>
      <c r="M625" s="165">
        <v>29.32396</v>
      </c>
      <c r="N625" s="165"/>
      <c r="O625" s="165"/>
      <c r="P625" s="160"/>
      <c r="Q625" s="166"/>
      <c r="R625" s="165"/>
      <c r="S625" s="165"/>
      <c r="T625" s="159"/>
      <c r="U625" s="160"/>
      <c r="V625" s="165"/>
      <c r="W625" s="165"/>
      <c r="X625" s="160"/>
      <c r="Y625" s="166"/>
      <c r="Z625" s="160"/>
      <c r="AA625" s="160"/>
      <c r="AB625" s="165"/>
      <c r="AC625" s="165"/>
      <c r="AD625" s="165"/>
      <c r="AE625" s="165"/>
      <c r="AF625" s="160"/>
      <c r="AG625" s="160">
        <v>0.72872999999999999</v>
      </c>
      <c r="AH625" s="160"/>
      <c r="AI625" s="160"/>
      <c r="AJ625" s="161"/>
      <c r="AK625" s="162"/>
      <c r="AL625" s="165"/>
      <c r="AM625" s="166"/>
      <c r="AN625" s="165"/>
      <c r="AO625" s="160"/>
      <c r="AP625" s="162"/>
      <c r="AQ625" s="161"/>
      <c r="AR625" s="162"/>
      <c r="AS625" s="161"/>
      <c r="AT625" s="165"/>
      <c r="AU625" s="166"/>
      <c r="AV625" s="165"/>
      <c r="AW625" s="166"/>
      <c r="AX625" s="165"/>
      <c r="AY625" s="165"/>
      <c r="AZ625" s="165"/>
      <c r="BA625" s="165"/>
      <c r="BB625" s="166"/>
      <c r="BC625" s="165"/>
      <c r="BD625" s="165"/>
      <c r="BE625" s="165"/>
      <c r="BF625" s="165"/>
      <c r="BG625" s="165"/>
      <c r="BH625" s="165"/>
      <c r="BI625" s="165"/>
      <c r="BJ625" s="166"/>
      <c r="BK625" s="165"/>
      <c r="BL625" s="165"/>
      <c r="BM625" s="163"/>
      <c r="BN625" s="165"/>
      <c r="BO625" s="165"/>
      <c r="BP625" s="165"/>
      <c r="BQ625" s="167"/>
    </row>
    <row r="626" spans="1:270" ht="39.950000000000003" customHeight="1" outlineLevel="1" x14ac:dyDescent="0.3">
      <c r="A626" s="15" t="s">
        <v>741</v>
      </c>
      <c r="B626" s="14" t="s">
        <v>1310</v>
      </c>
      <c r="C626" s="9" t="s">
        <v>30</v>
      </c>
      <c r="D626" s="66">
        <v>242903557968</v>
      </c>
      <c r="E626" s="158">
        <f t="shared" si="124"/>
        <v>83.2</v>
      </c>
      <c r="F626" s="159">
        <f t="shared" si="127"/>
        <v>0</v>
      </c>
      <c r="G626" s="160">
        <f t="shared" si="128"/>
        <v>83.2</v>
      </c>
      <c r="H626" s="166"/>
      <c r="I626" s="165"/>
      <c r="J626" s="160"/>
      <c r="K626" s="160"/>
      <c r="L626" s="166"/>
      <c r="M626" s="165"/>
      <c r="N626" s="165"/>
      <c r="O626" s="165"/>
      <c r="P626" s="160"/>
      <c r="Q626" s="166"/>
      <c r="R626" s="165"/>
      <c r="S626" s="165"/>
      <c r="T626" s="159"/>
      <c r="U626" s="160"/>
      <c r="V626" s="165"/>
      <c r="W626" s="165">
        <v>83.2</v>
      </c>
      <c r="X626" s="160"/>
      <c r="Y626" s="166"/>
      <c r="Z626" s="160"/>
      <c r="AA626" s="160"/>
      <c r="AB626" s="165"/>
      <c r="AC626" s="165"/>
      <c r="AD626" s="165"/>
      <c r="AE626" s="165"/>
      <c r="AF626" s="160"/>
      <c r="AG626" s="160"/>
      <c r="AH626" s="160"/>
      <c r="AI626" s="160"/>
      <c r="AJ626" s="161"/>
      <c r="AK626" s="162"/>
      <c r="AL626" s="165"/>
      <c r="AM626" s="166"/>
      <c r="AN626" s="165"/>
      <c r="AO626" s="160"/>
      <c r="AP626" s="162"/>
      <c r="AQ626" s="161"/>
      <c r="AR626" s="162"/>
      <c r="AS626" s="161"/>
      <c r="AT626" s="165"/>
      <c r="AU626" s="166"/>
      <c r="AV626" s="165"/>
      <c r="AW626" s="166"/>
      <c r="AX626" s="165"/>
      <c r="AY626" s="165"/>
      <c r="AZ626" s="165"/>
      <c r="BA626" s="165"/>
      <c r="BB626" s="166"/>
      <c r="BC626" s="165"/>
      <c r="BD626" s="165"/>
      <c r="BE626" s="165"/>
      <c r="BF626" s="165"/>
      <c r="BG626" s="165"/>
      <c r="BH626" s="165"/>
      <c r="BI626" s="165"/>
      <c r="BJ626" s="166"/>
      <c r="BK626" s="165"/>
      <c r="BL626" s="165"/>
      <c r="BM626" s="163"/>
      <c r="BN626" s="165"/>
      <c r="BO626" s="165"/>
      <c r="BP626" s="165"/>
      <c r="BQ626" s="167"/>
    </row>
    <row r="627" spans="1:270" ht="39.950000000000003" customHeight="1" outlineLevel="1" x14ac:dyDescent="0.3">
      <c r="A627" s="15" t="s">
        <v>741</v>
      </c>
      <c r="B627" s="14" t="s">
        <v>831</v>
      </c>
      <c r="C627" s="9" t="s">
        <v>30</v>
      </c>
      <c r="D627" s="9" t="s">
        <v>1233</v>
      </c>
      <c r="E627" s="158">
        <f t="shared" si="124"/>
        <v>234.79648</v>
      </c>
      <c r="F627" s="159">
        <f t="shared" si="127"/>
        <v>115.13574</v>
      </c>
      <c r="G627" s="160">
        <f t="shared" si="128"/>
        <v>119.66074</v>
      </c>
      <c r="H627" s="166">
        <v>49.265999999999998</v>
      </c>
      <c r="I627" s="165">
        <v>16.422000000000001</v>
      </c>
      <c r="J627" s="160"/>
      <c r="K627" s="160"/>
      <c r="L627" s="166">
        <v>65.869739999999993</v>
      </c>
      <c r="M627" s="165">
        <v>103.23874000000001</v>
      </c>
      <c r="N627" s="165"/>
      <c r="O627" s="165"/>
      <c r="P627" s="160"/>
      <c r="Q627" s="166"/>
      <c r="R627" s="165"/>
      <c r="S627" s="165"/>
      <c r="T627" s="159"/>
      <c r="U627" s="160"/>
      <c r="V627" s="165"/>
      <c r="W627" s="165"/>
      <c r="X627" s="160"/>
      <c r="Y627" s="166"/>
      <c r="Z627" s="160"/>
      <c r="AA627" s="160"/>
      <c r="AB627" s="165"/>
      <c r="AC627" s="165"/>
      <c r="AD627" s="165"/>
      <c r="AE627" s="165"/>
      <c r="AF627" s="160"/>
      <c r="AG627" s="160"/>
      <c r="AH627" s="160"/>
      <c r="AI627" s="160"/>
      <c r="AJ627" s="161"/>
      <c r="AK627" s="162"/>
      <c r="AL627" s="165"/>
      <c r="AM627" s="166"/>
      <c r="AN627" s="165"/>
      <c r="AO627" s="160"/>
      <c r="AP627" s="162"/>
      <c r="AQ627" s="161"/>
      <c r="AR627" s="162"/>
      <c r="AS627" s="161"/>
      <c r="AT627" s="165"/>
      <c r="AU627" s="166"/>
      <c r="AV627" s="165"/>
      <c r="AW627" s="166"/>
      <c r="AX627" s="165"/>
      <c r="AY627" s="165"/>
      <c r="AZ627" s="165"/>
      <c r="BA627" s="165"/>
      <c r="BB627" s="166"/>
      <c r="BC627" s="165"/>
      <c r="BD627" s="165"/>
      <c r="BE627" s="165"/>
      <c r="BF627" s="165"/>
      <c r="BG627" s="165"/>
      <c r="BH627" s="165"/>
      <c r="BI627" s="165"/>
      <c r="BJ627" s="166"/>
      <c r="BK627" s="165"/>
      <c r="BL627" s="165"/>
      <c r="BM627" s="163"/>
      <c r="BN627" s="165"/>
      <c r="BO627" s="165"/>
      <c r="BP627" s="165"/>
      <c r="BQ627" s="167"/>
    </row>
    <row r="628" spans="1:270" ht="39.950000000000003" customHeight="1" outlineLevel="1" x14ac:dyDescent="0.3">
      <c r="A628" s="15" t="s">
        <v>741</v>
      </c>
      <c r="B628" s="14" t="s">
        <v>742</v>
      </c>
      <c r="C628" s="9" t="s">
        <v>6</v>
      </c>
      <c r="D628" s="66" t="s">
        <v>743</v>
      </c>
      <c r="E628" s="158">
        <f t="shared" si="124"/>
        <v>18183.015009999999</v>
      </c>
      <c r="F628" s="159">
        <f t="shared" si="127"/>
        <v>4947.1304900000005</v>
      </c>
      <c r="G628" s="160">
        <f t="shared" si="128"/>
        <v>13235.88452</v>
      </c>
      <c r="H628" s="166">
        <v>693.13649999999996</v>
      </c>
      <c r="I628" s="165">
        <v>231.0455</v>
      </c>
      <c r="J628" s="160"/>
      <c r="K628" s="160"/>
      <c r="L628" s="166">
        <v>1392.38256</v>
      </c>
      <c r="M628" s="165">
        <v>2182.3042700000001</v>
      </c>
      <c r="N628" s="165"/>
      <c r="O628" s="165"/>
      <c r="P628" s="160"/>
      <c r="Q628" s="166">
        <v>2566.7229000000002</v>
      </c>
      <c r="R628" s="165">
        <v>855.57429999999999</v>
      </c>
      <c r="S628" s="165">
        <v>967.63333999999998</v>
      </c>
      <c r="T628" s="159"/>
      <c r="U628" s="160"/>
      <c r="V628" s="165"/>
      <c r="W628" s="165">
        <v>3710.72</v>
      </c>
      <c r="X628" s="160"/>
      <c r="Y628" s="166"/>
      <c r="Z628" s="160"/>
      <c r="AA628" s="160"/>
      <c r="AB628" s="165"/>
      <c r="AC628" s="165"/>
      <c r="AD628" s="165"/>
      <c r="AE628" s="165"/>
      <c r="AF628" s="160"/>
      <c r="AG628" s="160"/>
      <c r="AH628" s="160"/>
      <c r="AI628" s="160"/>
      <c r="AJ628" s="161"/>
      <c r="AK628" s="162"/>
      <c r="AL628" s="165"/>
      <c r="AM628" s="166"/>
      <c r="AN628" s="165"/>
      <c r="AO628" s="160"/>
      <c r="AP628" s="162"/>
      <c r="AQ628" s="161"/>
      <c r="AR628" s="162"/>
      <c r="AS628" s="161"/>
      <c r="AT628" s="165"/>
      <c r="AU628" s="166"/>
      <c r="AV628" s="165"/>
      <c r="AW628" s="166">
        <f>123.51532+84.82562+86.54759</f>
        <v>294.88853</v>
      </c>
      <c r="AX628" s="165">
        <f>8.52841+5.857+5.61998+36.89419+25.33752+25.85188</f>
        <v>108.08897999999999</v>
      </c>
      <c r="AY628" s="165"/>
      <c r="AZ628" s="165"/>
      <c r="BA628" s="165">
        <v>33.848579999999998</v>
      </c>
      <c r="BB628" s="166"/>
      <c r="BC628" s="165"/>
      <c r="BD628" s="165"/>
      <c r="BE628" s="165"/>
      <c r="BF628" s="165">
        <v>4836.4679299999998</v>
      </c>
      <c r="BG628" s="165">
        <v>141.66667000000001</v>
      </c>
      <c r="BH628" s="165"/>
      <c r="BI628" s="165"/>
      <c r="BJ628" s="166"/>
      <c r="BK628" s="165"/>
      <c r="BL628" s="165"/>
      <c r="BM628" s="163"/>
      <c r="BN628" s="165"/>
      <c r="BO628" s="165">
        <v>168.53495000000001</v>
      </c>
      <c r="BP628" s="165"/>
      <c r="BQ628" s="167"/>
    </row>
    <row r="629" spans="1:270" ht="39.950000000000003" customHeight="1" outlineLevel="1" x14ac:dyDescent="0.3">
      <c r="A629" s="15" t="s">
        <v>741</v>
      </c>
      <c r="B629" s="14" t="s">
        <v>744</v>
      </c>
      <c r="C629" s="9" t="s">
        <v>6</v>
      </c>
      <c r="D629" s="66" t="s">
        <v>745</v>
      </c>
      <c r="E629" s="158">
        <f t="shared" si="124"/>
        <v>5176.3720199999998</v>
      </c>
      <c r="F629" s="159">
        <f t="shared" si="127"/>
        <v>3025.60718</v>
      </c>
      <c r="G629" s="160">
        <f t="shared" si="128"/>
        <v>2150.7648399999998</v>
      </c>
      <c r="H629" s="166">
        <v>2099.9632499999998</v>
      </c>
      <c r="I629" s="165">
        <v>699.98775000000001</v>
      </c>
      <c r="J629" s="160"/>
      <c r="K629" s="160"/>
      <c r="L629" s="166">
        <v>925.64392999999995</v>
      </c>
      <c r="M629" s="165">
        <v>1450.77709</v>
      </c>
      <c r="N629" s="165"/>
      <c r="O629" s="165"/>
      <c r="P629" s="160"/>
      <c r="Q629" s="166"/>
      <c r="R629" s="165"/>
      <c r="S629" s="165"/>
      <c r="T629" s="159"/>
      <c r="U629" s="160"/>
      <c r="V629" s="165"/>
      <c r="W629" s="165"/>
      <c r="X629" s="160"/>
      <c r="Y629" s="166"/>
      <c r="Z629" s="160"/>
      <c r="AA629" s="160"/>
      <c r="AB629" s="165"/>
      <c r="AC629" s="165"/>
      <c r="AD629" s="165"/>
      <c r="AE629" s="165"/>
      <c r="AF629" s="160"/>
      <c r="AG629" s="160"/>
      <c r="AH629" s="160"/>
      <c r="AI629" s="160"/>
      <c r="AJ629" s="161"/>
      <c r="AK629" s="162"/>
      <c r="AL629" s="165"/>
      <c r="AM629" s="166"/>
      <c r="AN629" s="165"/>
      <c r="AO629" s="160"/>
      <c r="AP629" s="162"/>
      <c r="AQ629" s="161"/>
      <c r="AR629" s="162"/>
      <c r="AS629" s="161"/>
      <c r="AT629" s="165"/>
      <c r="AU629" s="166"/>
      <c r="AV629" s="165"/>
      <c r="AW629" s="166"/>
      <c r="AX629" s="165"/>
      <c r="AY629" s="165"/>
      <c r="AZ629" s="165"/>
      <c r="BA629" s="165"/>
      <c r="BB629" s="166"/>
      <c r="BC629" s="165"/>
      <c r="BD629" s="165"/>
      <c r="BE629" s="165"/>
      <c r="BF629" s="165"/>
      <c r="BG629" s="165"/>
      <c r="BH629" s="165"/>
      <c r="BI629" s="165"/>
      <c r="BJ629" s="166"/>
      <c r="BK629" s="165"/>
      <c r="BL629" s="165"/>
      <c r="BM629" s="163"/>
      <c r="BN629" s="165"/>
      <c r="BO629" s="165"/>
      <c r="BP629" s="165"/>
      <c r="BQ629" s="167"/>
    </row>
    <row r="630" spans="1:270" ht="39.950000000000003" customHeight="1" outlineLevel="1" x14ac:dyDescent="0.3">
      <c r="A630" s="15" t="s">
        <v>741</v>
      </c>
      <c r="B630" s="14" t="s">
        <v>746</v>
      </c>
      <c r="C630" s="9" t="s">
        <v>6</v>
      </c>
      <c r="D630" s="66" t="s">
        <v>747</v>
      </c>
      <c r="E630" s="158">
        <f t="shared" si="124"/>
        <v>40802.675940000001</v>
      </c>
      <c r="F630" s="159">
        <f t="shared" si="127"/>
        <v>24052.889800000001</v>
      </c>
      <c r="G630" s="160">
        <f t="shared" si="128"/>
        <v>16749.786139999997</v>
      </c>
      <c r="H630" s="166">
        <v>2202.52999</v>
      </c>
      <c r="I630" s="165">
        <v>734.17665</v>
      </c>
      <c r="J630" s="160">
        <v>499.5</v>
      </c>
      <c r="K630" s="160"/>
      <c r="L630" s="166">
        <f>648.54098+4544.4105</f>
        <v>5192.9514799999997</v>
      </c>
      <c r="M630" s="165">
        <f>1016.46904+7122.52994</f>
        <v>8138.9989800000003</v>
      </c>
      <c r="N630" s="165"/>
      <c r="O630" s="165"/>
      <c r="P630" s="160"/>
      <c r="Q630" s="166">
        <v>9664.4974500000008</v>
      </c>
      <c r="R630" s="165">
        <v>3221.4991500000001</v>
      </c>
      <c r="S630" s="165"/>
      <c r="T630" s="159"/>
      <c r="U630" s="160"/>
      <c r="V630" s="165"/>
      <c r="W630" s="165"/>
      <c r="X630" s="160"/>
      <c r="Y630" s="166">
        <v>4514.4489000000003</v>
      </c>
      <c r="Z630" s="160">
        <v>1504.8163</v>
      </c>
      <c r="AA630" s="160"/>
      <c r="AB630" s="165"/>
      <c r="AC630" s="165"/>
      <c r="AD630" s="165"/>
      <c r="AE630" s="165"/>
      <c r="AF630" s="160"/>
      <c r="AG630" s="160"/>
      <c r="AH630" s="160"/>
      <c r="AI630" s="160"/>
      <c r="AJ630" s="161"/>
      <c r="AK630" s="162"/>
      <c r="AL630" s="165"/>
      <c r="AM630" s="166"/>
      <c r="AN630" s="165"/>
      <c r="AO630" s="160"/>
      <c r="AP630" s="162"/>
      <c r="AQ630" s="161"/>
      <c r="AR630" s="162"/>
      <c r="AS630" s="161"/>
      <c r="AT630" s="165"/>
      <c r="AU630" s="166"/>
      <c r="AV630" s="165"/>
      <c r="AW630" s="166">
        <f>215.26433+410.02743+58.2885+487.16597+61.34455+504.40679+279.74263+462.22178</f>
        <v>2478.46198</v>
      </c>
      <c r="AX630" s="165">
        <f>16.94219+35.4095+4.89606+38.73373+22.03956+36.45071+33.81096+4.77479+64.29974+122.47572+17.41085+145.51711+18.32369+150.66697+83.55949+138.06626</f>
        <v>933.3773299999998</v>
      </c>
      <c r="AY630" s="165"/>
      <c r="AZ630" s="165">
        <v>683.83456999999999</v>
      </c>
      <c r="BA630" s="165">
        <v>92.228700000000003</v>
      </c>
      <c r="BB630" s="166"/>
      <c r="BC630" s="165"/>
      <c r="BD630" s="165"/>
      <c r="BE630" s="165"/>
      <c r="BF630" s="165"/>
      <c r="BG630" s="165">
        <v>181.25</v>
      </c>
      <c r="BH630" s="165"/>
      <c r="BI630" s="165"/>
      <c r="BJ630" s="166"/>
      <c r="BK630" s="165"/>
      <c r="BL630" s="165"/>
      <c r="BM630" s="163"/>
      <c r="BN630" s="165">
        <v>17.38</v>
      </c>
      <c r="BO630" s="165">
        <v>742.72446000000002</v>
      </c>
      <c r="BP630" s="165"/>
      <c r="BQ630" s="167"/>
    </row>
    <row r="631" spans="1:270" ht="39.950000000000003" customHeight="1" outlineLevel="1" x14ac:dyDescent="0.3">
      <c r="A631" s="12" t="s">
        <v>741</v>
      </c>
      <c r="B631" s="10" t="s">
        <v>748</v>
      </c>
      <c r="C631" s="9" t="s">
        <v>6</v>
      </c>
      <c r="D631" s="66" t="s">
        <v>749</v>
      </c>
      <c r="E631" s="158">
        <f t="shared" si="124"/>
        <v>389.97026</v>
      </c>
      <c r="F631" s="159">
        <f t="shared" si="127"/>
        <v>151.898</v>
      </c>
      <c r="G631" s="160">
        <f t="shared" si="128"/>
        <v>238.07226</v>
      </c>
      <c r="H631" s="166"/>
      <c r="I631" s="165"/>
      <c r="J631" s="160"/>
      <c r="K631" s="160"/>
      <c r="L631" s="166">
        <v>151.898</v>
      </c>
      <c r="M631" s="165">
        <v>238.07226</v>
      </c>
      <c r="N631" s="165"/>
      <c r="O631" s="165"/>
      <c r="P631" s="160"/>
      <c r="Q631" s="166"/>
      <c r="R631" s="165"/>
      <c r="S631" s="165"/>
      <c r="T631" s="159"/>
      <c r="U631" s="160"/>
      <c r="V631" s="165"/>
      <c r="W631" s="165"/>
      <c r="X631" s="160"/>
      <c r="Y631" s="166"/>
      <c r="Z631" s="160"/>
      <c r="AA631" s="160"/>
      <c r="AB631" s="165"/>
      <c r="AC631" s="165"/>
      <c r="AD631" s="165"/>
      <c r="AE631" s="165"/>
      <c r="AF631" s="160"/>
      <c r="AG631" s="160"/>
      <c r="AH631" s="160"/>
      <c r="AI631" s="160"/>
      <c r="AJ631" s="161"/>
      <c r="AK631" s="162"/>
      <c r="AL631" s="165"/>
      <c r="AM631" s="166"/>
      <c r="AN631" s="165"/>
      <c r="AO631" s="160"/>
      <c r="AP631" s="162"/>
      <c r="AQ631" s="161"/>
      <c r="AR631" s="162"/>
      <c r="AS631" s="161"/>
      <c r="AT631" s="165"/>
      <c r="AU631" s="166"/>
      <c r="AV631" s="165"/>
      <c r="AW631" s="166"/>
      <c r="AX631" s="165"/>
      <c r="AY631" s="165"/>
      <c r="AZ631" s="165"/>
      <c r="BA631" s="165"/>
      <c r="BB631" s="166"/>
      <c r="BC631" s="165"/>
      <c r="BD631" s="165"/>
      <c r="BE631" s="165"/>
      <c r="BF631" s="165"/>
      <c r="BG631" s="165"/>
      <c r="BH631" s="165"/>
      <c r="BI631" s="165"/>
      <c r="BJ631" s="166"/>
      <c r="BK631" s="165"/>
      <c r="BL631" s="165"/>
      <c r="BM631" s="163"/>
      <c r="BN631" s="165"/>
      <c r="BO631" s="165"/>
      <c r="BP631" s="165"/>
      <c r="BQ631" s="167"/>
    </row>
    <row r="632" spans="1:270" ht="39.950000000000003" customHeight="1" outlineLevel="1" x14ac:dyDescent="0.3">
      <c r="A632" s="15" t="s">
        <v>741</v>
      </c>
      <c r="B632" s="14" t="s">
        <v>754</v>
      </c>
      <c r="C632" s="9" t="s">
        <v>6</v>
      </c>
      <c r="D632" s="66" t="s">
        <v>755</v>
      </c>
      <c r="E632" s="158">
        <f t="shared" si="124"/>
        <v>2270.8590599999998</v>
      </c>
      <c r="F632" s="159">
        <f t="shared" si="127"/>
        <v>231.53077999999999</v>
      </c>
      <c r="G632" s="160">
        <f t="shared" si="128"/>
        <v>2039.3282799999999</v>
      </c>
      <c r="H632" s="166"/>
      <c r="I632" s="165"/>
      <c r="J632" s="160"/>
      <c r="K632" s="160"/>
      <c r="L632" s="166">
        <v>231.53077999999999</v>
      </c>
      <c r="M632" s="165">
        <v>362.88202999999999</v>
      </c>
      <c r="N632" s="165"/>
      <c r="O632" s="165"/>
      <c r="P632" s="160"/>
      <c r="Q632" s="166"/>
      <c r="R632" s="165"/>
      <c r="S632" s="165"/>
      <c r="T632" s="159"/>
      <c r="U632" s="160"/>
      <c r="V632" s="165"/>
      <c r="W632" s="165"/>
      <c r="X632" s="160"/>
      <c r="Y632" s="166"/>
      <c r="Z632" s="160"/>
      <c r="AA632" s="160"/>
      <c r="AB632" s="165"/>
      <c r="AC632" s="165"/>
      <c r="AD632" s="165"/>
      <c r="AE632" s="165"/>
      <c r="AF632" s="160"/>
      <c r="AG632" s="160"/>
      <c r="AH632" s="160"/>
      <c r="AI632" s="160"/>
      <c r="AJ632" s="161"/>
      <c r="AK632" s="162"/>
      <c r="AL632" s="165"/>
      <c r="AM632" s="166"/>
      <c r="AN632" s="165"/>
      <c r="AO632" s="160"/>
      <c r="AP632" s="162"/>
      <c r="AQ632" s="161"/>
      <c r="AR632" s="162"/>
      <c r="AS632" s="161"/>
      <c r="AT632" s="165"/>
      <c r="AU632" s="166"/>
      <c r="AV632" s="165"/>
      <c r="AW632" s="166"/>
      <c r="AX632" s="165"/>
      <c r="AY632" s="165"/>
      <c r="AZ632" s="165"/>
      <c r="BA632" s="165"/>
      <c r="BB632" s="166"/>
      <c r="BC632" s="165"/>
      <c r="BD632" s="165"/>
      <c r="BE632" s="165"/>
      <c r="BF632" s="165"/>
      <c r="BG632" s="165"/>
      <c r="BH632" s="165">
        <v>1653.3287499999999</v>
      </c>
      <c r="BI632" s="165"/>
      <c r="BJ632" s="166"/>
      <c r="BK632" s="165"/>
      <c r="BL632" s="165"/>
      <c r="BM632" s="163"/>
      <c r="BN632" s="165"/>
      <c r="BO632" s="165">
        <v>23.1175</v>
      </c>
      <c r="BP632" s="165"/>
      <c r="BQ632" s="167"/>
    </row>
    <row r="633" spans="1:270" ht="39.950000000000003" customHeight="1" outlineLevel="1" x14ac:dyDescent="0.3">
      <c r="A633" s="15" t="s">
        <v>741</v>
      </c>
      <c r="B633" s="14" t="s">
        <v>750</v>
      </c>
      <c r="C633" s="9" t="s">
        <v>6</v>
      </c>
      <c r="D633" s="66" t="s">
        <v>751</v>
      </c>
      <c r="E633" s="158">
        <f t="shared" si="124"/>
        <v>7272.72181</v>
      </c>
      <c r="F633" s="159">
        <f t="shared" si="127"/>
        <v>3363.65074</v>
      </c>
      <c r="G633" s="160">
        <f t="shared" si="128"/>
        <v>3909.07107</v>
      </c>
      <c r="H633" s="166">
        <v>2727.2727199999999</v>
      </c>
      <c r="I633" s="165">
        <v>909.09091000000001</v>
      </c>
      <c r="J633" s="160"/>
      <c r="K633" s="160"/>
      <c r="L633" s="166">
        <f>420.02182+130.22001+86.13619</f>
        <v>636.37801999999988</v>
      </c>
      <c r="M633" s="165">
        <f>658.30716+204.09598+135.00268</f>
        <v>997.40581999999995</v>
      </c>
      <c r="N633" s="165"/>
      <c r="O633" s="165"/>
      <c r="P633" s="160"/>
      <c r="Q633" s="166"/>
      <c r="R633" s="165"/>
      <c r="S633" s="165"/>
      <c r="T633" s="159"/>
      <c r="U633" s="160"/>
      <c r="V633" s="165"/>
      <c r="W633" s="165"/>
      <c r="X633" s="160"/>
      <c r="Y633" s="166"/>
      <c r="Z633" s="160"/>
      <c r="AA633" s="160"/>
      <c r="AB633" s="165"/>
      <c r="AC633" s="165"/>
      <c r="AD633" s="165"/>
      <c r="AE633" s="165"/>
      <c r="AF633" s="160"/>
      <c r="AG633" s="160"/>
      <c r="AH633" s="160"/>
      <c r="AI633" s="160"/>
      <c r="AJ633" s="161"/>
      <c r="AK633" s="162"/>
      <c r="AL633" s="165"/>
      <c r="AM633" s="166"/>
      <c r="AN633" s="165"/>
      <c r="AO633" s="160"/>
      <c r="AP633" s="162"/>
      <c r="AQ633" s="161"/>
      <c r="AR633" s="162"/>
      <c r="AS633" s="161"/>
      <c r="AT633" s="165"/>
      <c r="AU633" s="166"/>
      <c r="AV633" s="165"/>
      <c r="AW633" s="166"/>
      <c r="AX633" s="165"/>
      <c r="AY633" s="165"/>
      <c r="AZ633" s="165"/>
      <c r="BA633" s="165">
        <v>294.93709000000001</v>
      </c>
      <c r="BB633" s="166"/>
      <c r="BC633" s="165"/>
      <c r="BD633" s="165"/>
      <c r="BE633" s="165">
        <v>1568.9322500000001</v>
      </c>
      <c r="BF633" s="165"/>
      <c r="BG633" s="165"/>
      <c r="BH633" s="165"/>
      <c r="BI633" s="165"/>
      <c r="BJ633" s="166"/>
      <c r="BK633" s="165"/>
      <c r="BL633" s="165"/>
      <c r="BM633" s="163"/>
      <c r="BN633" s="165"/>
      <c r="BO633" s="165">
        <v>138.70500000000001</v>
      </c>
      <c r="BP633" s="165"/>
      <c r="BQ633" s="167"/>
    </row>
    <row r="634" spans="1:270" ht="39.950000000000003" customHeight="1" outlineLevel="1" x14ac:dyDescent="0.3">
      <c r="A634" s="15" t="s">
        <v>741</v>
      </c>
      <c r="B634" s="14" t="s">
        <v>752</v>
      </c>
      <c r="C634" s="9" t="s">
        <v>6</v>
      </c>
      <c r="D634" s="66" t="s">
        <v>753</v>
      </c>
      <c r="E634" s="158">
        <f t="shared" si="124"/>
        <v>1268.2424800000001</v>
      </c>
      <c r="F634" s="159">
        <f t="shared" si="127"/>
        <v>335.54685000000001</v>
      </c>
      <c r="G634" s="160">
        <f t="shared" si="128"/>
        <v>932.69563000000005</v>
      </c>
      <c r="H634" s="166"/>
      <c r="I634" s="165"/>
      <c r="J634" s="160"/>
      <c r="K634" s="160"/>
      <c r="L634" s="166">
        <v>335.54685000000001</v>
      </c>
      <c r="M634" s="165">
        <v>525.90813000000003</v>
      </c>
      <c r="N634" s="165"/>
      <c r="O634" s="165"/>
      <c r="P634" s="160"/>
      <c r="Q634" s="166"/>
      <c r="R634" s="165"/>
      <c r="S634" s="165"/>
      <c r="T634" s="159"/>
      <c r="U634" s="160"/>
      <c r="V634" s="165"/>
      <c r="W634" s="165">
        <v>291.2</v>
      </c>
      <c r="X634" s="160"/>
      <c r="Y634" s="166"/>
      <c r="Z634" s="160"/>
      <c r="AA634" s="160"/>
      <c r="AB634" s="165"/>
      <c r="AC634" s="165"/>
      <c r="AD634" s="165"/>
      <c r="AE634" s="165"/>
      <c r="AF634" s="160"/>
      <c r="AG634" s="160"/>
      <c r="AH634" s="160"/>
      <c r="AI634" s="160"/>
      <c r="AJ634" s="161"/>
      <c r="AK634" s="162"/>
      <c r="AL634" s="165"/>
      <c r="AM634" s="166"/>
      <c r="AN634" s="165"/>
      <c r="AO634" s="160"/>
      <c r="AP634" s="162"/>
      <c r="AQ634" s="161"/>
      <c r="AR634" s="162"/>
      <c r="AS634" s="161"/>
      <c r="AT634" s="165"/>
      <c r="AU634" s="166"/>
      <c r="AV634" s="165"/>
      <c r="AW634" s="166"/>
      <c r="AX634" s="165"/>
      <c r="AY634" s="165"/>
      <c r="AZ634" s="165"/>
      <c r="BA634" s="165"/>
      <c r="BB634" s="166"/>
      <c r="BC634" s="165"/>
      <c r="BD634" s="165"/>
      <c r="BE634" s="165"/>
      <c r="BF634" s="165"/>
      <c r="BG634" s="165"/>
      <c r="BH634" s="165"/>
      <c r="BI634" s="165"/>
      <c r="BJ634" s="166"/>
      <c r="BK634" s="165"/>
      <c r="BL634" s="165"/>
      <c r="BM634" s="163"/>
      <c r="BN634" s="165"/>
      <c r="BO634" s="165">
        <v>115.58750000000001</v>
      </c>
      <c r="BP634" s="165"/>
      <c r="BQ634" s="167"/>
    </row>
    <row r="635" spans="1:270" ht="39.950000000000003" customHeight="1" outlineLevel="1" x14ac:dyDescent="0.3">
      <c r="A635" s="17" t="s">
        <v>741</v>
      </c>
      <c r="B635" s="12" t="s">
        <v>756</v>
      </c>
      <c r="C635" s="9" t="s">
        <v>6</v>
      </c>
      <c r="D635" s="66" t="s">
        <v>757</v>
      </c>
      <c r="E635" s="158">
        <f t="shared" si="124"/>
        <v>659.11686000000009</v>
      </c>
      <c r="F635" s="159">
        <f t="shared" si="127"/>
        <v>236.28440000000001</v>
      </c>
      <c r="G635" s="160">
        <f t="shared" si="128"/>
        <v>422.83246000000003</v>
      </c>
      <c r="H635" s="166"/>
      <c r="I635" s="165"/>
      <c r="J635" s="160"/>
      <c r="K635" s="160"/>
      <c r="L635" s="166">
        <v>236.28440000000001</v>
      </c>
      <c r="M635" s="165">
        <v>370.33246000000003</v>
      </c>
      <c r="N635" s="165"/>
      <c r="O635" s="165"/>
      <c r="P635" s="160"/>
      <c r="Q635" s="166"/>
      <c r="R635" s="165"/>
      <c r="S635" s="165"/>
      <c r="T635" s="159"/>
      <c r="U635" s="160"/>
      <c r="V635" s="165"/>
      <c r="W635" s="165"/>
      <c r="X635" s="160"/>
      <c r="Y635" s="166"/>
      <c r="Z635" s="160"/>
      <c r="AA635" s="160"/>
      <c r="AB635" s="165"/>
      <c r="AC635" s="165"/>
      <c r="AD635" s="165"/>
      <c r="AE635" s="165"/>
      <c r="AF635" s="160"/>
      <c r="AG635" s="160"/>
      <c r="AH635" s="160"/>
      <c r="AI635" s="160"/>
      <c r="AJ635" s="161"/>
      <c r="AK635" s="162"/>
      <c r="AL635" s="165"/>
      <c r="AM635" s="166"/>
      <c r="AN635" s="165"/>
      <c r="AO635" s="160"/>
      <c r="AP635" s="162"/>
      <c r="AQ635" s="161"/>
      <c r="AR635" s="162"/>
      <c r="AS635" s="161"/>
      <c r="AT635" s="165"/>
      <c r="AU635" s="166"/>
      <c r="AV635" s="165"/>
      <c r="AW635" s="166"/>
      <c r="AX635" s="165"/>
      <c r="AY635" s="165"/>
      <c r="AZ635" s="165"/>
      <c r="BA635" s="165"/>
      <c r="BB635" s="166"/>
      <c r="BC635" s="165"/>
      <c r="BD635" s="165"/>
      <c r="BE635" s="165"/>
      <c r="BF635" s="165"/>
      <c r="BG635" s="165">
        <v>52.5</v>
      </c>
      <c r="BH635" s="165"/>
      <c r="BI635" s="165"/>
      <c r="BJ635" s="166"/>
      <c r="BK635" s="165"/>
      <c r="BL635" s="165"/>
      <c r="BM635" s="163"/>
      <c r="BN635" s="165"/>
      <c r="BO635" s="165"/>
      <c r="BP635" s="165"/>
      <c r="BQ635" s="167"/>
    </row>
    <row r="636" spans="1:270" ht="52.5" customHeight="1" outlineLevel="1" x14ac:dyDescent="0.3">
      <c r="A636" s="17" t="s">
        <v>741</v>
      </c>
      <c r="B636" s="12" t="s">
        <v>1558</v>
      </c>
      <c r="C636" s="9" t="s">
        <v>73</v>
      </c>
      <c r="D636" s="66">
        <v>2429000629</v>
      </c>
      <c r="E636" s="158">
        <f t="shared" si="124"/>
        <v>150.48425</v>
      </c>
      <c r="F636" s="159">
        <f t="shared" si="127"/>
        <v>0</v>
      </c>
      <c r="G636" s="160">
        <f t="shared" si="128"/>
        <v>150.48425</v>
      </c>
      <c r="H636" s="166"/>
      <c r="I636" s="165"/>
      <c r="J636" s="160"/>
      <c r="K636" s="160"/>
      <c r="L636" s="166"/>
      <c r="M636" s="165"/>
      <c r="N636" s="165"/>
      <c r="O636" s="165"/>
      <c r="P636" s="160"/>
      <c r="Q636" s="166"/>
      <c r="R636" s="165"/>
      <c r="S636" s="165"/>
      <c r="T636" s="159"/>
      <c r="U636" s="160"/>
      <c r="V636" s="165"/>
      <c r="W636" s="165"/>
      <c r="X636" s="160"/>
      <c r="Y636" s="166"/>
      <c r="Z636" s="160"/>
      <c r="AA636" s="160"/>
      <c r="AB636" s="165"/>
      <c r="AC636" s="165"/>
      <c r="AD636" s="165"/>
      <c r="AE636" s="165"/>
      <c r="AF636" s="160"/>
      <c r="AG636" s="160"/>
      <c r="AH636" s="160"/>
      <c r="AI636" s="160"/>
      <c r="AJ636" s="161"/>
      <c r="AK636" s="162"/>
      <c r="AL636" s="165"/>
      <c r="AM636" s="166"/>
      <c r="AN636" s="165"/>
      <c r="AO636" s="160"/>
      <c r="AP636" s="162"/>
      <c r="AQ636" s="161"/>
      <c r="AR636" s="162"/>
      <c r="AS636" s="161"/>
      <c r="AT636" s="165">
        <v>150.48425</v>
      </c>
      <c r="AU636" s="166"/>
      <c r="AV636" s="165"/>
      <c r="AW636" s="166"/>
      <c r="AX636" s="165"/>
      <c r="AY636" s="165"/>
      <c r="AZ636" s="165"/>
      <c r="BA636" s="165"/>
      <c r="BB636" s="166"/>
      <c r="BC636" s="165"/>
      <c r="BD636" s="165"/>
      <c r="BE636" s="165"/>
      <c r="BF636" s="165"/>
      <c r="BG636" s="165"/>
      <c r="BH636" s="165"/>
      <c r="BI636" s="165"/>
      <c r="BJ636" s="166"/>
      <c r="BK636" s="165"/>
      <c r="BL636" s="165"/>
      <c r="BM636" s="163"/>
      <c r="BN636" s="165"/>
      <c r="BO636" s="165"/>
      <c r="BP636" s="165"/>
      <c r="BQ636" s="167"/>
    </row>
    <row r="637" spans="1:270" ht="39.950000000000003" customHeight="1" outlineLevel="1" x14ac:dyDescent="0.3">
      <c r="A637" s="17" t="s">
        <v>741</v>
      </c>
      <c r="B637" s="12" t="s">
        <v>758</v>
      </c>
      <c r="C637" s="9" t="s">
        <v>6</v>
      </c>
      <c r="D637" s="9" t="s">
        <v>1229</v>
      </c>
      <c r="E637" s="158">
        <f t="shared" si="124"/>
        <v>1238.57366</v>
      </c>
      <c r="F637" s="159">
        <f t="shared" si="127"/>
        <v>654.11719999999991</v>
      </c>
      <c r="G637" s="160">
        <f t="shared" si="128"/>
        <v>584.45645999999999</v>
      </c>
      <c r="H637" s="166">
        <v>357.17849999999999</v>
      </c>
      <c r="I637" s="165">
        <v>119.0595</v>
      </c>
      <c r="J637" s="160"/>
      <c r="K637" s="160"/>
      <c r="L637" s="166">
        <v>296.93869999999998</v>
      </c>
      <c r="M637" s="165">
        <v>465.39695999999998</v>
      </c>
      <c r="N637" s="165"/>
      <c r="O637" s="165"/>
      <c r="P637" s="160"/>
      <c r="Q637" s="166"/>
      <c r="R637" s="165"/>
      <c r="S637" s="165"/>
      <c r="T637" s="159"/>
      <c r="U637" s="160"/>
      <c r="V637" s="165"/>
      <c r="W637" s="165"/>
      <c r="X637" s="160"/>
      <c r="Y637" s="166"/>
      <c r="Z637" s="160"/>
      <c r="AA637" s="160"/>
      <c r="AB637" s="165"/>
      <c r="AC637" s="165"/>
      <c r="AD637" s="165"/>
      <c r="AE637" s="165"/>
      <c r="AF637" s="160"/>
      <c r="AG637" s="160"/>
      <c r="AH637" s="160"/>
      <c r="AI637" s="160"/>
      <c r="AJ637" s="161"/>
      <c r="AK637" s="162"/>
      <c r="AL637" s="165"/>
      <c r="AM637" s="166"/>
      <c r="AN637" s="165"/>
      <c r="AO637" s="160"/>
      <c r="AP637" s="162"/>
      <c r="AQ637" s="161"/>
      <c r="AR637" s="162"/>
      <c r="AS637" s="161"/>
      <c r="AT637" s="165"/>
      <c r="AU637" s="166"/>
      <c r="AV637" s="165"/>
      <c r="AW637" s="166"/>
      <c r="AX637" s="165"/>
      <c r="AY637" s="165"/>
      <c r="AZ637" s="165"/>
      <c r="BA637" s="165"/>
      <c r="BB637" s="166"/>
      <c r="BC637" s="165"/>
      <c r="BD637" s="165"/>
      <c r="BE637" s="165"/>
      <c r="BF637" s="165"/>
      <c r="BG637" s="165"/>
      <c r="BH637" s="165"/>
      <c r="BI637" s="165"/>
      <c r="BJ637" s="166"/>
      <c r="BK637" s="165"/>
      <c r="BL637" s="165"/>
      <c r="BM637" s="163"/>
      <c r="BN637" s="165"/>
      <c r="BO637" s="165"/>
      <c r="BP637" s="165"/>
      <c r="BQ637" s="167"/>
    </row>
    <row r="638" spans="1:270" ht="39.950000000000003" customHeight="1" outlineLevel="1" x14ac:dyDescent="0.3">
      <c r="A638" s="15" t="s">
        <v>741</v>
      </c>
      <c r="B638" s="14" t="s">
        <v>759</v>
      </c>
      <c r="C638" s="9" t="s">
        <v>6</v>
      </c>
      <c r="D638" s="66" t="s">
        <v>760</v>
      </c>
      <c r="E638" s="158">
        <f t="shared" si="124"/>
        <v>1005.4335</v>
      </c>
      <c r="F638" s="159">
        <f t="shared" si="127"/>
        <v>145.3321</v>
      </c>
      <c r="G638" s="160">
        <f t="shared" si="128"/>
        <v>860.10140000000001</v>
      </c>
      <c r="H638" s="166"/>
      <c r="I638" s="165"/>
      <c r="J638" s="160"/>
      <c r="K638" s="160"/>
      <c r="L638" s="166">
        <v>145.3321</v>
      </c>
      <c r="M638" s="165">
        <v>227.78139999999999</v>
      </c>
      <c r="N638" s="165"/>
      <c r="O638" s="165"/>
      <c r="P638" s="160"/>
      <c r="Q638" s="166"/>
      <c r="R638" s="165"/>
      <c r="S638" s="165"/>
      <c r="T638" s="159"/>
      <c r="U638" s="160"/>
      <c r="V638" s="165"/>
      <c r="W638" s="165">
        <v>632.32000000000005</v>
      </c>
      <c r="X638" s="160"/>
      <c r="Y638" s="166"/>
      <c r="Z638" s="160"/>
      <c r="AA638" s="160"/>
      <c r="AB638" s="165"/>
      <c r="AC638" s="165"/>
      <c r="AD638" s="165"/>
      <c r="AE638" s="165"/>
      <c r="AF638" s="160"/>
      <c r="AG638" s="160"/>
      <c r="AH638" s="160"/>
      <c r="AI638" s="160"/>
      <c r="AJ638" s="161"/>
      <c r="AK638" s="162"/>
      <c r="AL638" s="165"/>
      <c r="AM638" s="166"/>
      <c r="AN638" s="165"/>
      <c r="AO638" s="160"/>
      <c r="AP638" s="162"/>
      <c r="AQ638" s="161"/>
      <c r="AR638" s="162"/>
      <c r="AS638" s="161"/>
      <c r="AT638" s="165"/>
      <c r="AU638" s="166"/>
      <c r="AV638" s="165"/>
      <c r="AW638" s="166"/>
      <c r="AX638" s="165"/>
      <c r="AY638" s="165"/>
      <c r="AZ638" s="165"/>
      <c r="BA638" s="165"/>
      <c r="BB638" s="166"/>
      <c r="BC638" s="165"/>
      <c r="BD638" s="165"/>
      <c r="BE638" s="165"/>
      <c r="BF638" s="165"/>
      <c r="BG638" s="165"/>
      <c r="BH638" s="165"/>
      <c r="BI638" s="165"/>
      <c r="BJ638" s="166"/>
      <c r="BK638" s="165"/>
      <c r="BL638" s="165"/>
      <c r="BM638" s="163"/>
      <c r="BN638" s="165"/>
      <c r="BO638" s="165"/>
      <c r="BP638" s="165"/>
      <c r="BQ638" s="167"/>
    </row>
    <row r="639" spans="1:270" s="34" customFormat="1" ht="39.950000000000003" customHeight="1" x14ac:dyDescent="0.3">
      <c r="A639" s="114" t="s">
        <v>833</v>
      </c>
      <c r="B639" s="115"/>
      <c r="C639" s="116" t="s">
        <v>80</v>
      </c>
      <c r="D639" s="117"/>
      <c r="E639" s="173">
        <f t="shared" ref="E639:AI639" si="129">SUBTOTAL(9,E575:E638)</f>
        <v>136316.00123000002</v>
      </c>
      <c r="F639" s="173">
        <f t="shared" si="129"/>
        <v>45563.603659999993</v>
      </c>
      <c r="G639" s="173">
        <f t="shared" si="129"/>
        <v>90752.397569999986</v>
      </c>
      <c r="H639" s="173">
        <f t="shared" si="129"/>
        <v>9598.0402799999993</v>
      </c>
      <c r="I639" s="173">
        <f t="shared" si="129"/>
        <v>3199.3467599999994</v>
      </c>
      <c r="J639" s="173">
        <f t="shared" si="129"/>
        <v>499.5</v>
      </c>
      <c r="K639" s="173">
        <f t="shared" si="129"/>
        <v>0</v>
      </c>
      <c r="L639" s="173">
        <f t="shared" si="129"/>
        <v>13157.042359999999</v>
      </c>
      <c r="M639" s="173">
        <f t="shared" si="129"/>
        <v>20621.250739999999</v>
      </c>
      <c r="N639" s="173">
        <f t="shared" si="129"/>
        <v>0</v>
      </c>
      <c r="O639" s="173">
        <f>SUBTOTAL(9,O575:O638)</f>
        <v>0</v>
      </c>
      <c r="P639" s="173">
        <f>SUBTOTAL(9,P575:P638)</f>
        <v>0</v>
      </c>
      <c r="Q639" s="173">
        <f t="shared" si="129"/>
        <v>12231.220350000001</v>
      </c>
      <c r="R639" s="173">
        <f t="shared" si="129"/>
        <v>4077.0734499999999</v>
      </c>
      <c r="S639" s="173">
        <f t="shared" si="129"/>
        <v>967.63333999999998</v>
      </c>
      <c r="T639" s="173">
        <f>SUBTOTAL(9,T575:T638)</f>
        <v>0</v>
      </c>
      <c r="U639" s="173">
        <f>SUBTOTAL(9,U575:U638)</f>
        <v>0</v>
      </c>
      <c r="V639" s="173">
        <f t="shared" si="129"/>
        <v>0</v>
      </c>
      <c r="W639" s="173">
        <f t="shared" si="129"/>
        <v>7487.9999999999991</v>
      </c>
      <c r="X639" s="173">
        <f>SUBTOTAL(9,X575:X638)</f>
        <v>0</v>
      </c>
      <c r="Y639" s="173">
        <f t="shared" si="129"/>
        <v>4514.4489000000003</v>
      </c>
      <c r="Z639" s="173">
        <f t="shared" si="129"/>
        <v>1504.8163</v>
      </c>
      <c r="AA639" s="173">
        <f t="shared" si="129"/>
        <v>0</v>
      </c>
      <c r="AB639" s="173">
        <f t="shared" si="129"/>
        <v>0</v>
      </c>
      <c r="AC639" s="173">
        <f t="shared" si="129"/>
        <v>0</v>
      </c>
      <c r="AD639" s="173">
        <f>SUBTOTAL(9,AD575:AD638)</f>
        <v>0</v>
      </c>
      <c r="AE639" s="173">
        <f t="shared" si="129"/>
        <v>0</v>
      </c>
      <c r="AF639" s="173">
        <f t="shared" si="129"/>
        <v>0</v>
      </c>
      <c r="AG639" s="173">
        <f t="shared" si="129"/>
        <v>40.954419999999992</v>
      </c>
      <c r="AH639" s="173">
        <f t="shared" si="129"/>
        <v>0</v>
      </c>
      <c r="AI639" s="173">
        <f t="shared" si="129"/>
        <v>0</v>
      </c>
      <c r="AJ639" s="173">
        <f t="shared" ref="AJ639:BQ639" si="130">SUBTOTAL(9,AJ575:AJ638)</f>
        <v>11996.099999999999</v>
      </c>
      <c r="AK639" s="173">
        <f t="shared" si="130"/>
        <v>0</v>
      </c>
      <c r="AL639" s="173">
        <f t="shared" si="130"/>
        <v>0</v>
      </c>
      <c r="AM639" s="173">
        <f>SUBTOTAL(9,AM575:AM638)</f>
        <v>2624.85</v>
      </c>
      <c r="AN639" s="173">
        <f>SUBTOTAL(9,AN575:AN638)</f>
        <v>138.15</v>
      </c>
      <c r="AO639" s="173">
        <f>SUBTOTAL(9,AO575:AO638)</f>
        <v>0</v>
      </c>
      <c r="AP639" s="173">
        <f t="shared" si="130"/>
        <v>0</v>
      </c>
      <c r="AQ639" s="173">
        <f t="shared" si="130"/>
        <v>0</v>
      </c>
      <c r="AR639" s="173">
        <f t="shared" si="130"/>
        <v>0</v>
      </c>
      <c r="AS639" s="173">
        <f t="shared" si="130"/>
        <v>0</v>
      </c>
      <c r="AT639" s="173">
        <f>SUBTOTAL(9,AT575:AT638)</f>
        <v>150.48425</v>
      </c>
      <c r="AU639" s="173">
        <f t="shared" si="130"/>
        <v>0</v>
      </c>
      <c r="AV639" s="173">
        <f t="shared" si="130"/>
        <v>0</v>
      </c>
      <c r="AW639" s="173">
        <f t="shared" si="130"/>
        <v>3438.0017699999999</v>
      </c>
      <c r="AX639" s="173">
        <f t="shared" si="130"/>
        <v>1327.8280699999998</v>
      </c>
      <c r="AY639" s="173">
        <f t="shared" si="130"/>
        <v>143.78688</v>
      </c>
      <c r="AZ639" s="173">
        <f t="shared" si="130"/>
        <v>683.83456999999999</v>
      </c>
      <c r="BA639" s="173">
        <f t="shared" si="130"/>
        <v>608.57352000000003</v>
      </c>
      <c r="BB639" s="173">
        <f t="shared" si="130"/>
        <v>0</v>
      </c>
      <c r="BC639" s="173">
        <f t="shared" si="130"/>
        <v>0</v>
      </c>
      <c r="BD639" s="173">
        <f t="shared" si="130"/>
        <v>0</v>
      </c>
      <c r="BE639" s="173">
        <f t="shared" si="130"/>
        <v>2855.0414300000002</v>
      </c>
      <c r="BF639" s="173">
        <f t="shared" si="130"/>
        <v>5156.5364599999994</v>
      </c>
      <c r="BG639" s="173">
        <f t="shared" si="130"/>
        <v>419.16667000000001</v>
      </c>
      <c r="BH639" s="173">
        <f t="shared" si="130"/>
        <v>27340.927499999998</v>
      </c>
      <c r="BI639" s="173">
        <f t="shared" si="130"/>
        <v>0</v>
      </c>
      <c r="BJ639" s="173">
        <f t="shared" si="130"/>
        <v>0</v>
      </c>
      <c r="BK639" s="173">
        <f t="shared" si="130"/>
        <v>0</v>
      </c>
      <c r="BL639" s="173">
        <f t="shared" si="130"/>
        <v>0</v>
      </c>
      <c r="BM639" s="174">
        <f>SUBTOTAL(9,BM575:BM638)</f>
        <v>0</v>
      </c>
      <c r="BN639" s="173">
        <f t="shared" si="130"/>
        <v>17.38</v>
      </c>
      <c r="BO639" s="173">
        <f t="shared" si="130"/>
        <v>1516.0132100000001</v>
      </c>
      <c r="BP639" s="173">
        <f t="shared" si="130"/>
        <v>0</v>
      </c>
      <c r="BQ639" s="174">
        <f t="shared" si="130"/>
        <v>0</v>
      </c>
      <c r="BR639" s="40"/>
      <c r="BS639" s="40"/>
      <c r="BT639" s="40"/>
      <c r="BU639" s="40"/>
      <c r="BV639" s="40"/>
      <c r="BW639" s="40"/>
      <c r="BX639" s="40"/>
      <c r="BY639" s="40"/>
      <c r="BZ639" s="40"/>
      <c r="CA639" s="40"/>
      <c r="CB639" s="40"/>
      <c r="CC639" s="40"/>
      <c r="CD639" s="40"/>
      <c r="CE639" s="40"/>
      <c r="CF639" s="40"/>
      <c r="CG639" s="40"/>
      <c r="CH639" s="40"/>
      <c r="CI639" s="40"/>
      <c r="CJ639" s="40"/>
      <c r="CK639" s="40"/>
      <c r="CL639" s="40"/>
      <c r="CM639" s="40"/>
      <c r="CN639" s="40"/>
      <c r="CO639" s="40"/>
      <c r="CP639" s="40"/>
      <c r="CQ639" s="40"/>
      <c r="CR639" s="40"/>
      <c r="CS639" s="40"/>
      <c r="CT639" s="40"/>
      <c r="CU639" s="40"/>
      <c r="CV639" s="40"/>
      <c r="CW639" s="40"/>
      <c r="CX639" s="40"/>
      <c r="CY639" s="40"/>
      <c r="CZ639" s="40"/>
      <c r="DA639" s="40"/>
      <c r="DB639" s="40"/>
      <c r="DC639" s="40"/>
      <c r="DD639" s="40"/>
      <c r="DE639" s="40"/>
      <c r="DF639" s="40"/>
      <c r="DG639" s="40"/>
      <c r="DH639" s="40"/>
      <c r="DI639" s="40"/>
      <c r="DJ639" s="40"/>
      <c r="DK639" s="40"/>
      <c r="DL639" s="40"/>
      <c r="DM639" s="40"/>
      <c r="DN639" s="40"/>
      <c r="DO639" s="40"/>
      <c r="DP639" s="40"/>
      <c r="DQ639" s="40"/>
      <c r="DR639" s="40"/>
      <c r="DS639" s="40"/>
      <c r="DT639" s="40"/>
      <c r="DU639" s="40"/>
      <c r="DV639" s="40"/>
      <c r="DW639" s="40"/>
      <c r="DX639" s="40"/>
      <c r="DY639" s="40"/>
      <c r="DZ639" s="40"/>
      <c r="EA639" s="40"/>
      <c r="EB639" s="40"/>
      <c r="EC639" s="40"/>
      <c r="ED639" s="40"/>
      <c r="EE639" s="40"/>
      <c r="EF639" s="40"/>
      <c r="EG639" s="40"/>
      <c r="EH639" s="40"/>
      <c r="EI639" s="40"/>
      <c r="EJ639" s="40"/>
      <c r="EK639" s="40"/>
      <c r="EL639" s="40"/>
      <c r="EM639" s="40"/>
      <c r="EN639" s="40"/>
      <c r="EO639" s="40"/>
      <c r="EP639" s="40"/>
      <c r="EQ639" s="40"/>
      <c r="ER639" s="40"/>
      <c r="ES639" s="40"/>
      <c r="ET639" s="40"/>
      <c r="EU639" s="40"/>
      <c r="EV639" s="40"/>
      <c r="EW639" s="40"/>
      <c r="EX639" s="40"/>
      <c r="EY639" s="40"/>
      <c r="EZ639" s="40"/>
      <c r="FA639" s="40"/>
      <c r="FB639" s="40"/>
      <c r="FC639" s="40"/>
      <c r="FD639" s="40"/>
      <c r="FE639" s="40"/>
      <c r="FF639" s="40"/>
      <c r="FG639" s="40"/>
      <c r="FH639" s="40"/>
      <c r="FI639" s="40"/>
      <c r="FJ639" s="40"/>
      <c r="FK639" s="40"/>
      <c r="FL639" s="40"/>
      <c r="FM639" s="40"/>
      <c r="FN639" s="40"/>
      <c r="FO639" s="40"/>
      <c r="FP639" s="40"/>
      <c r="FQ639" s="40"/>
      <c r="FR639" s="40"/>
      <c r="FS639" s="40"/>
      <c r="FT639" s="40"/>
      <c r="FU639" s="40"/>
      <c r="FV639" s="40"/>
      <c r="FW639" s="40"/>
      <c r="FX639" s="40"/>
      <c r="FY639" s="40"/>
      <c r="FZ639" s="40"/>
      <c r="GA639" s="40"/>
      <c r="GB639" s="40"/>
      <c r="GC639" s="40"/>
      <c r="GD639" s="40"/>
      <c r="GE639" s="40"/>
      <c r="GF639" s="40"/>
      <c r="GG639" s="40"/>
      <c r="GH639" s="40"/>
      <c r="GI639" s="40"/>
      <c r="GJ639" s="40"/>
      <c r="GK639" s="40"/>
      <c r="GL639" s="40"/>
      <c r="GM639" s="40"/>
      <c r="GN639" s="40"/>
      <c r="GO639" s="40"/>
      <c r="GP639" s="40"/>
      <c r="GQ639" s="40"/>
      <c r="GR639" s="40"/>
      <c r="GS639" s="40"/>
      <c r="GT639" s="40"/>
      <c r="GU639" s="40"/>
      <c r="GV639" s="40"/>
      <c r="GW639" s="40"/>
      <c r="GX639" s="40"/>
      <c r="GY639" s="40"/>
      <c r="GZ639" s="40"/>
      <c r="HA639" s="40"/>
      <c r="HB639" s="40"/>
      <c r="HC639" s="40"/>
      <c r="HD639" s="40"/>
      <c r="HE639" s="40"/>
      <c r="HF639" s="40"/>
      <c r="HG639" s="40"/>
      <c r="HH639" s="40"/>
      <c r="HI639" s="40"/>
      <c r="HJ639" s="40"/>
      <c r="HK639" s="40"/>
      <c r="HL639" s="40"/>
      <c r="HM639" s="40"/>
      <c r="HN639" s="40"/>
      <c r="HO639" s="40"/>
      <c r="HP639" s="40"/>
      <c r="HQ639" s="40"/>
      <c r="HR639" s="40"/>
      <c r="HS639" s="40"/>
      <c r="HT639" s="40"/>
      <c r="HU639" s="40"/>
      <c r="HV639" s="40"/>
      <c r="HW639" s="40"/>
      <c r="HX639" s="40"/>
      <c r="HY639" s="40"/>
      <c r="HZ639" s="40"/>
      <c r="IA639" s="40"/>
      <c r="IB639" s="40"/>
      <c r="IC639" s="40"/>
      <c r="ID639" s="40"/>
      <c r="IE639" s="40"/>
      <c r="IF639" s="40"/>
      <c r="IG639" s="40"/>
      <c r="IH639" s="40"/>
      <c r="II639" s="40"/>
      <c r="IJ639" s="40"/>
      <c r="IK639" s="40"/>
      <c r="IL639" s="40"/>
      <c r="IM639" s="40"/>
      <c r="IN639" s="40"/>
      <c r="IO639" s="40"/>
      <c r="IP639" s="40"/>
      <c r="IQ639" s="40"/>
      <c r="IR639" s="40"/>
      <c r="IS639" s="40"/>
      <c r="IT639" s="40"/>
      <c r="IU639" s="40"/>
      <c r="IV639" s="40"/>
      <c r="IW639" s="40"/>
      <c r="IX639" s="40"/>
      <c r="IY639" s="40"/>
      <c r="IZ639" s="40"/>
      <c r="JA639" s="40"/>
      <c r="JB639" s="40"/>
      <c r="JC639" s="40"/>
      <c r="JD639" s="40"/>
      <c r="JE639" s="40"/>
      <c r="JF639" s="40"/>
      <c r="JG639" s="40"/>
      <c r="JH639" s="40"/>
      <c r="JI639" s="40"/>
      <c r="JJ639" s="40"/>
    </row>
    <row r="640" spans="1:270" ht="39.950000000000003" customHeight="1" outlineLevel="1" x14ac:dyDescent="0.3">
      <c r="A640" s="15" t="s">
        <v>834</v>
      </c>
      <c r="B640" s="10" t="s">
        <v>839</v>
      </c>
      <c r="C640" s="9" t="s">
        <v>28</v>
      </c>
      <c r="D640" s="66" t="s">
        <v>840</v>
      </c>
      <c r="E640" s="158">
        <f t="shared" ref="E640:E648" si="131">F640+G640</f>
        <v>258.93122999999997</v>
      </c>
      <c r="F640" s="159">
        <f t="shared" ref="F640:F648" si="132">H640+L640+Q640+Y640+T640+AK640+AP640+AM640+AR640+AU640+AW640+BB640+BJ640</f>
        <v>100.85675999999999</v>
      </c>
      <c r="G640" s="160">
        <f t="shared" ref="G640:G648" si="133">I640+J640+K640+M640+N640+R640+S640+V640+W640+AD640+O640+X640+Z640+AA640+AB640+AC640+AE640+AF640+P640+U640+AG640+AH640+AI640+AO640+AJ640+AL640+AQ640+AN640+AS640+AV640+AX640+AY640+AZ640+BA640+BC640+BD640+BE640+BF640+BG640+BH640+BI640+AT640+BK640+BL640+BN640+BO640+BP640+BQ640+BM640</f>
        <v>158.07446999999999</v>
      </c>
      <c r="H640" s="159"/>
      <c r="I640" s="160"/>
      <c r="J640" s="158"/>
      <c r="K640" s="158"/>
      <c r="L640" s="166">
        <v>100.85675999999999</v>
      </c>
      <c r="M640" s="160">
        <v>158.07446999999999</v>
      </c>
      <c r="N640" s="160"/>
      <c r="O640" s="160"/>
      <c r="P640" s="158"/>
      <c r="Q640" s="173"/>
      <c r="R640" s="158"/>
      <c r="S640" s="158"/>
      <c r="T640" s="173"/>
      <c r="U640" s="158"/>
      <c r="V640" s="158"/>
      <c r="W640" s="158"/>
      <c r="X640" s="158"/>
      <c r="Y640" s="173"/>
      <c r="Z640" s="158"/>
      <c r="AA640" s="160"/>
      <c r="AB640" s="158"/>
      <c r="AC640" s="158"/>
      <c r="AD640" s="160"/>
      <c r="AE640" s="160"/>
      <c r="AF640" s="158"/>
      <c r="AG640" s="158"/>
      <c r="AH640" s="158"/>
      <c r="AI640" s="158"/>
      <c r="AJ640" s="158"/>
      <c r="AK640" s="173"/>
      <c r="AL640" s="158"/>
      <c r="AM640" s="173"/>
      <c r="AN640" s="158"/>
      <c r="AO640" s="158"/>
      <c r="AP640" s="173"/>
      <c r="AQ640" s="158"/>
      <c r="AR640" s="173"/>
      <c r="AS640" s="158"/>
      <c r="AT640" s="158"/>
      <c r="AU640" s="173"/>
      <c r="AV640" s="158"/>
      <c r="AW640" s="173"/>
      <c r="AX640" s="158"/>
      <c r="AY640" s="158"/>
      <c r="AZ640" s="158"/>
      <c r="BA640" s="158"/>
      <c r="BB640" s="173"/>
      <c r="BC640" s="158"/>
      <c r="BD640" s="158"/>
      <c r="BE640" s="158"/>
      <c r="BF640" s="158"/>
      <c r="BG640" s="160"/>
      <c r="BH640" s="158"/>
      <c r="BI640" s="158"/>
      <c r="BJ640" s="173"/>
      <c r="BK640" s="158"/>
      <c r="BL640" s="158"/>
      <c r="BM640" s="163"/>
      <c r="BN640" s="158"/>
      <c r="BO640" s="158"/>
      <c r="BP640" s="158"/>
      <c r="BQ640" s="186"/>
    </row>
    <row r="641" spans="1:270" ht="39.950000000000003" customHeight="1" outlineLevel="1" x14ac:dyDescent="0.3">
      <c r="A641" s="15" t="s">
        <v>834</v>
      </c>
      <c r="B641" s="14" t="s">
        <v>841</v>
      </c>
      <c r="C641" s="9" t="s">
        <v>28</v>
      </c>
      <c r="D641" s="66" t="s">
        <v>842</v>
      </c>
      <c r="E641" s="158">
        <f t="shared" si="131"/>
        <v>8124.4048400000011</v>
      </c>
      <c r="F641" s="159">
        <f t="shared" si="132"/>
        <v>908.29535999999996</v>
      </c>
      <c r="G641" s="160">
        <f t="shared" si="133"/>
        <v>7216.109480000001</v>
      </c>
      <c r="H641" s="159">
        <v>205.27500000000001</v>
      </c>
      <c r="I641" s="160">
        <v>68.424999999999997</v>
      </c>
      <c r="J641" s="160"/>
      <c r="K641" s="160"/>
      <c r="L641" s="166">
        <f>537.00883+166.01153</f>
        <v>703.02035999999998</v>
      </c>
      <c r="M641" s="160">
        <f>841.66285+260.19263</f>
        <v>1101.8554800000002</v>
      </c>
      <c r="N641" s="160"/>
      <c r="O641" s="160"/>
      <c r="P641" s="158"/>
      <c r="Q641" s="173"/>
      <c r="R641" s="158"/>
      <c r="S641" s="158"/>
      <c r="T641" s="173"/>
      <c r="U641" s="158"/>
      <c r="V641" s="158"/>
      <c r="W641" s="158"/>
      <c r="X641" s="158"/>
      <c r="Y641" s="173"/>
      <c r="Z641" s="158"/>
      <c r="AA641" s="160"/>
      <c r="AB641" s="158"/>
      <c r="AC641" s="158"/>
      <c r="AD641" s="160"/>
      <c r="AE641" s="160"/>
      <c r="AF641" s="158"/>
      <c r="AG641" s="158"/>
      <c r="AH641" s="158"/>
      <c r="AI641" s="158"/>
      <c r="AJ641" s="158"/>
      <c r="AK641" s="173"/>
      <c r="AL641" s="158"/>
      <c r="AM641" s="173"/>
      <c r="AN641" s="158"/>
      <c r="AO641" s="158"/>
      <c r="AP641" s="173"/>
      <c r="AQ641" s="158"/>
      <c r="AR641" s="173"/>
      <c r="AS641" s="158"/>
      <c r="AT641" s="158"/>
      <c r="AU641" s="173"/>
      <c r="AV641" s="158"/>
      <c r="AW641" s="173"/>
      <c r="AX641" s="158"/>
      <c r="AY641" s="158"/>
      <c r="AZ641" s="158"/>
      <c r="BA641" s="158"/>
      <c r="BB641" s="173"/>
      <c r="BC641" s="158"/>
      <c r="BD641" s="158"/>
      <c r="BE641" s="158"/>
      <c r="BF641" s="158"/>
      <c r="BG641" s="160">
        <v>275.60000000000002</v>
      </c>
      <c r="BH641" s="160">
        <v>5770.2290000000003</v>
      </c>
      <c r="BI641" s="158"/>
      <c r="BJ641" s="173"/>
      <c r="BK641" s="158"/>
      <c r="BL641" s="158"/>
      <c r="BM641" s="163"/>
      <c r="BN641" s="158"/>
      <c r="BO641" s="158"/>
      <c r="BP641" s="158"/>
      <c r="BQ641" s="186"/>
    </row>
    <row r="642" spans="1:270" ht="39.950000000000003" customHeight="1" outlineLevel="1" x14ac:dyDescent="0.3">
      <c r="A642" s="15" t="s">
        <v>834</v>
      </c>
      <c r="B642" s="10" t="s">
        <v>843</v>
      </c>
      <c r="C642" s="9" t="s">
        <v>28</v>
      </c>
      <c r="D642" s="66" t="s">
        <v>844</v>
      </c>
      <c r="E642" s="158">
        <f t="shared" si="131"/>
        <v>503.10860000000002</v>
      </c>
      <c r="F642" s="159">
        <f t="shared" si="132"/>
        <v>195.96672000000001</v>
      </c>
      <c r="G642" s="160">
        <f t="shared" si="133"/>
        <v>307.14188000000001</v>
      </c>
      <c r="H642" s="159"/>
      <c r="I642" s="160"/>
      <c r="J642" s="158"/>
      <c r="K642" s="158"/>
      <c r="L642" s="166">
        <v>195.96672000000001</v>
      </c>
      <c r="M642" s="160">
        <v>307.14188000000001</v>
      </c>
      <c r="N642" s="160"/>
      <c r="O642" s="160"/>
      <c r="P642" s="158"/>
      <c r="Q642" s="173"/>
      <c r="R642" s="158"/>
      <c r="S642" s="158"/>
      <c r="T642" s="173"/>
      <c r="U642" s="158"/>
      <c r="V642" s="158"/>
      <c r="W642" s="158"/>
      <c r="X642" s="158"/>
      <c r="Y642" s="173"/>
      <c r="Z642" s="158"/>
      <c r="AA642" s="165"/>
      <c r="AB642" s="158"/>
      <c r="AC642" s="158"/>
      <c r="AD642" s="160"/>
      <c r="AE642" s="160"/>
      <c r="AF642" s="158"/>
      <c r="AG642" s="158"/>
      <c r="AH642" s="158"/>
      <c r="AI642" s="158"/>
      <c r="AJ642" s="158"/>
      <c r="AK642" s="173"/>
      <c r="AL642" s="158"/>
      <c r="AM642" s="173"/>
      <c r="AN642" s="158"/>
      <c r="AO642" s="158"/>
      <c r="AP642" s="173"/>
      <c r="AQ642" s="158"/>
      <c r="AR642" s="173"/>
      <c r="AS642" s="158"/>
      <c r="AT642" s="158"/>
      <c r="AU642" s="173"/>
      <c r="AV642" s="158"/>
      <c r="AW642" s="173"/>
      <c r="AX642" s="158"/>
      <c r="AY642" s="158"/>
      <c r="AZ642" s="158"/>
      <c r="BA642" s="158"/>
      <c r="BB642" s="173"/>
      <c r="BC642" s="158"/>
      <c r="BD642" s="158"/>
      <c r="BE642" s="158"/>
      <c r="BF642" s="158"/>
      <c r="BG642" s="160"/>
      <c r="BH642" s="158"/>
      <c r="BI642" s="158"/>
      <c r="BJ642" s="173"/>
      <c r="BK642" s="158"/>
      <c r="BL642" s="158"/>
      <c r="BM642" s="163"/>
      <c r="BN642" s="158"/>
      <c r="BO642" s="158"/>
      <c r="BP642" s="158"/>
      <c r="BQ642" s="186"/>
    </row>
    <row r="643" spans="1:270" ht="39.950000000000003" customHeight="1" outlineLevel="1" x14ac:dyDescent="0.3">
      <c r="A643" s="15" t="s">
        <v>834</v>
      </c>
      <c r="B643" s="10" t="s">
        <v>845</v>
      </c>
      <c r="C643" s="9" t="s">
        <v>28</v>
      </c>
      <c r="D643" s="66" t="s">
        <v>846</v>
      </c>
      <c r="E643" s="158">
        <f t="shared" si="131"/>
        <v>157.43662999999998</v>
      </c>
      <c r="F643" s="159">
        <f t="shared" si="132"/>
        <v>61.323419999999999</v>
      </c>
      <c r="G643" s="160">
        <f t="shared" si="133"/>
        <v>96.113209999999995</v>
      </c>
      <c r="H643" s="159"/>
      <c r="I643" s="160"/>
      <c r="J643" s="158"/>
      <c r="K643" s="158"/>
      <c r="L643" s="166">
        <v>61.323419999999999</v>
      </c>
      <c r="M643" s="160">
        <v>96.113209999999995</v>
      </c>
      <c r="N643" s="160"/>
      <c r="O643" s="160"/>
      <c r="P643" s="158"/>
      <c r="Q643" s="173"/>
      <c r="R643" s="158"/>
      <c r="S643" s="158"/>
      <c r="T643" s="173"/>
      <c r="U643" s="158"/>
      <c r="V643" s="158"/>
      <c r="W643" s="158"/>
      <c r="X643" s="158"/>
      <c r="Y643" s="173"/>
      <c r="Z643" s="158"/>
      <c r="AA643" s="160"/>
      <c r="AB643" s="158"/>
      <c r="AC643" s="158"/>
      <c r="AD643" s="160"/>
      <c r="AE643" s="160"/>
      <c r="AF643" s="158"/>
      <c r="AG643" s="158"/>
      <c r="AH643" s="158"/>
      <c r="AI643" s="158"/>
      <c r="AJ643" s="158"/>
      <c r="AK643" s="173"/>
      <c r="AL643" s="158"/>
      <c r="AM643" s="173"/>
      <c r="AN643" s="158"/>
      <c r="AO643" s="158"/>
      <c r="AP643" s="173"/>
      <c r="AQ643" s="158"/>
      <c r="AR643" s="173"/>
      <c r="AS643" s="158"/>
      <c r="AT643" s="158"/>
      <c r="AU643" s="173"/>
      <c r="AV643" s="158"/>
      <c r="AW643" s="173"/>
      <c r="AX643" s="158"/>
      <c r="AY643" s="158"/>
      <c r="AZ643" s="158"/>
      <c r="BA643" s="158"/>
      <c r="BB643" s="173"/>
      <c r="BC643" s="158"/>
      <c r="BD643" s="158"/>
      <c r="BE643" s="158"/>
      <c r="BF643" s="158"/>
      <c r="BG643" s="160"/>
      <c r="BH643" s="158"/>
      <c r="BI643" s="158"/>
      <c r="BJ643" s="173"/>
      <c r="BK643" s="158"/>
      <c r="BL643" s="158"/>
      <c r="BM643" s="163"/>
      <c r="BN643" s="158"/>
      <c r="BO643" s="158"/>
      <c r="BP643" s="158"/>
      <c r="BQ643" s="186"/>
    </row>
    <row r="644" spans="1:270" ht="39.950000000000003" customHeight="1" outlineLevel="1" x14ac:dyDescent="0.3">
      <c r="A644" s="15" t="s">
        <v>834</v>
      </c>
      <c r="B644" s="14" t="s">
        <v>1123</v>
      </c>
      <c r="C644" s="9" t="s">
        <v>30</v>
      </c>
      <c r="D644" s="9" t="s">
        <v>1236</v>
      </c>
      <c r="E644" s="158">
        <f t="shared" si="131"/>
        <v>61.21622</v>
      </c>
      <c r="F644" s="159">
        <f t="shared" si="132"/>
        <v>23.844439999999999</v>
      </c>
      <c r="G644" s="160">
        <f t="shared" si="133"/>
        <v>37.371780000000001</v>
      </c>
      <c r="H644" s="159"/>
      <c r="I644" s="160"/>
      <c r="J644" s="158"/>
      <c r="K644" s="158"/>
      <c r="L644" s="166">
        <v>23.844439999999999</v>
      </c>
      <c r="M644" s="160">
        <v>37.371780000000001</v>
      </c>
      <c r="N644" s="160"/>
      <c r="O644" s="160"/>
      <c r="P644" s="158"/>
      <c r="Q644" s="173"/>
      <c r="R644" s="158"/>
      <c r="S644" s="158"/>
      <c r="T644" s="173"/>
      <c r="U644" s="158"/>
      <c r="V644" s="158"/>
      <c r="W644" s="158"/>
      <c r="X644" s="158"/>
      <c r="Y644" s="173"/>
      <c r="Z644" s="158"/>
      <c r="AA644" s="160"/>
      <c r="AB644" s="158"/>
      <c r="AC644" s="158"/>
      <c r="AD644" s="160"/>
      <c r="AE644" s="160"/>
      <c r="AF644" s="158"/>
      <c r="AG644" s="158"/>
      <c r="AH644" s="158"/>
      <c r="AI644" s="158"/>
      <c r="AJ644" s="158"/>
      <c r="AK644" s="173"/>
      <c r="AL644" s="158"/>
      <c r="AM644" s="173"/>
      <c r="AN644" s="158"/>
      <c r="AO644" s="158"/>
      <c r="AP644" s="173"/>
      <c r="AQ644" s="158"/>
      <c r="AR644" s="173"/>
      <c r="AS644" s="158"/>
      <c r="AT644" s="158"/>
      <c r="AU644" s="173"/>
      <c r="AV644" s="158"/>
      <c r="AW644" s="173"/>
      <c r="AX644" s="158"/>
      <c r="AY644" s="158"/>
      <c r="AZ644" s="158"/>
      <c r="BA644" s="158"/>
      <c r="BB644" s="173"/>
      <c r="BC644" s="158"/>
      <c r="BD644" s="158"/>
      <c r="BE644" s="158"/>
      <c r="BF644" s="158"/>
      <c r="BG644" s="160"/>
      <c r="BH644" s="158"/>
      <c r="BI644" s="158"/>
      <c r="BJ644" s="173"/>
      <c r="BK644" s="158"/>
      <c r="BL644" s="158"/>
      <c r="BM644" s="163"/>
      <c r="BN644" s="158"/>
      <c r="BO644" s="158"/>
      <c r="BP644" s="158"/>
      <c r="BQ644" s="186"/>
    </row>
    <row r="645" spans="1:270" ht="39.950000000000003" customHeight="1" outlineLevel="1" x14ac:dyDescent="0.3">
      <c r="A645" s="15" t="s">
        <v>834</v>
      </c>
      <c r="B645" s="14" t="s">
        <v>1138</v>
      </c>
      <c r="C645" s="9" t="s">
        <v>30</v>
      </c>
      <c r="D645" s="9" t="s">
        <v>1235</v>
      </c>
      <c r="E645" s="158">
        <f t="shared" si="131"/>
        <v>30506.493130000003</v>
      </c>
      <c r="F645" s="159">
        <f t="shared" si="132"/>
        <v>22601.15408</v>
      </c>
      <c r="G645" s="160">
        <f t="shared" si="133"/>
        <v>7905.3390500000005</v>
      </c>
      <c r="H645" s="159"/>
      <c r="I645" s="160"/>
      <c r="J645" s="158"/>
      <c r="K645" s="158"/>
      <c r="L645" s="166">
        <v>121.00733</v>
      </c>
      <c r="M645" s="160">
        <v>189.6568</v>
      </c>
      <c r="N645" s="160"/>
      <c r="O645" s="160"/>
      <c r="P645" s="158"/>
      <c r="Q645" s="173"/>
      <c r="R645" s="158"/>
      <c r="S645" s="160">
        <v>112.2</v>
      </c>
      <c r="T645" s="173"/>
      <c r="U645" s="158"/>
      <c r="V645" s="158"/>
      <c r="W645" s="158"/>
      <c r="X645" s="158"/>
      <c r="Y645" s="173"/>
      <c r="Z645" s="158"/>
      <c r="AA645" s="160"/>
      <c r="AB645" s="158"/>
      <c r="AC645" s="158"/>
      <c r="AD645" s="160"/>
      <c r="AE645" s="160"/>
      <c r="AF645" s="158"/>
      <c r="AG645" s="158"/>
      <c r="AH645" s="158"/>
      <c r="AI645" s="158"/>
      <c r="AJ645" s="158"/>
      <c r="AK645" s="173">
        <v>22480.14675</v>
      </c>
      <c r="AL645" s="158">
        <v>7493.3822499999997</v>
      </c>
      <c r="AM645" s="173"/>
      <c r="AN645" s="158"/>
      <c r="AO645" s="158"/>
      <c r="AP645" s="173"/>
      <c r="AQ645" s="158"/>
      <c r="AR645" s="173"/>
      <c r="AS645" s="158"/>
      <c r="AT645" s="158"/>
      <c r="AU645" s="173"/>
      <c r="AV645" s="158"/>
      <c r="AW645" s="173"/>
      <c r="AX645" s="158"/>
      <c r="AY645" s="158"/>
      <c r="AZ645" s="158"/>
      <c r="BA645" s="158"/>
      <c r="BB645" s="173"/>
      <c r="BC645" s="158"/>
      <c r="BD645" s="158"/>
      <c r="BE645" s="158"/>
      <c r="BF645" s="158"/>
      <c r="BG645" s="160">
        <v>110.1</v>
      </c>
      <c r="BH645" s="158"/>
      <c r="BI645" s="158"/>
      <c r="BJ645" s="173"/>
      <c r="BK645" s="158"/>
      <c r="BL645" s="158"/>
      <c r="BM645" s="163"/>
      <c r="BN645" s="158"/>
      <c r="BO645" s="158"/>
      <c r="BP645" s="158"/>
      <c r="BQ645" s="186"/>
    </row>
    <row r="646" spans="1:270" ht="39.950000000000003" customHeight="1" outlineLevel="1" x14ac:dyDescent="0.3">
      <c r="A646" s="15" t="s">
        <v>834</v>
      </c>
      <c r="B646" s="14" t="s">
        <v>1402</v>
      </c>
      <c r="C646" s="9" t="s">
        <v>30</v>
      </c>
      <c r="D646" s="66">
        <v>246205763090</v>
      </c>
      <c r="E646" s="158">
        <f t="shared" si="131"/>
        <v>126.41858999999999</v>
      </c>
      <c r="F646" s="159">
        <f t="shared" si="132"/>
        <v>18.73536</v>
      </c>
      <c r="G646" s="160">
        <f t="shared" si="133"/>
        <v>107.68322999999999</v>
      </c>
      <c r="H646" s="159"/>
      <c r="I646" s="160"/>
      <c r="J646" s="158"/>
      <c r="K646" s="158"/>
      <c r="L646" s="166"/>
      <c r="M646" s="158"/>
      <c r="N646" s="158"/>
      <c r="O646" s="160"/>
      <c r="P646" s="158"/>
      <c r="Q646" s="173"/>
      <c r="R646" s="158"/>
      <c r="S646" s="158"/>
      <c r="T646" s="173"/>
      <c r="U646" s="158"/>
      <c r="V646" s="158"/>
      <c r="W646" s="158"/>
      <c r="X646" s="158"/>
      <c r="Y646" s="173">
        <v>18.73536</v>
      </c>
      <c r="Z646" s="158">
        <v>6.24512</v>
      </c>
      <c r="AA646" s="160">
        <v>101.43810999999999</v>
      </c>
      <c r="AB646" s="158"/>
      <c r="AC646" s="158"/>
      <c r="AD646" s="160"/>
      <c r="AE646" s="160"/>
      <c r="AF646" s="158"/>
      <c r="AG646" s="158"/>
      <c r="AH646" s="158"/>
      <c r="AI646" s="158"/>
      <c r="AJ646" s="158"/>
      <c r="AK646" s="173"/>
      <c r="AL646" s="158"/>
      <c r="AM646" s="173"/>
      <c r="AN646" s="158"/>
      <c r="AO646" s="158"/>
      <c r="AP646" s="173"/>
      <c r="AQ646" s="158"/>
      <c r="AR646" s="173"/>
      <c r="AS646" s="158"/>
      <c r="AT646" s="158"/>
      <c r="AU646" s="173"/>
      <c r="AV646" s="158"/>
      <c r="AW646" s="173"/>
      <c r="AX646" s="158"/>
      <c r="AY646" s="158"/>
      <c r="AZ646" s="158"/>
      <c r="BA646" s="158"/>
      <c r="BB646" s="173"/>
      <c r="BC646" s="158"/>
      <c r="BD646" s="158"/>
      <c r="BE646" s="158"/>
      <c r="BF646" s="158"/>
      <c r="BG646" s="160"/>
      <c r="BH646" s="158"/>
      <c r="BI646" s="158"/>
      <c r="BJ646" s="173"/>
      <c r="BK646" s="158"/>
      <c r="BL646" s="158"/>
      <c r="BM646" s="163"/>
      <c r="BN646" s="158"/>
      <c r="BO646" s="158"/>
      <c r="BP646" s="158"/>
      <c r="BQ646" s="186"/>
    </row>
    <row r="647" spans="1:270" ht="39.950000000000003" customHeight="1" outlineLevel="1" x14ac:dyDescent="0.3">
      <c r="A647" s="15" t="s">
        <v>834</v>
      </c>
      <c r="B647" s="14" t="s">
        <v>835</v>
      </c>
      <c r="C647" s="9" t="s">
        <v>6</v>
      </c>
      <c r="D647" s="66" t="s">
        <v>836</v>
      </c>
      <c r="E647" s="158">
        <f t="shared" si="131"/>
        <v>483.89872000000003</v>
      </c>
      <c r="F647" s="159">
        <f t="shared" si="132"/>
        <v>188.48424</v>
      </c>
      <c r="G647" s="160">
        <f t="shared" si="133"/>
        <v>295.41448000000003</v>
      </c>
      <c r="H647" s="159"/>
      <c r="I647" s="160"/>
      <c r="J647" s="158"/>
      <c r="K647" s="158"/>
      <c r="L647" s="166">
        <v>188.48424</v>
      </c>
      <c r="M647" s="160">
        <v>295.41448000000003</v>
      </c>
      <c r="N647" s="160"/>
      <c r="O647" s="160"/>
      <c r="P647" s="158"/>
      <c r="Q647" s="173"/>
      <c r="R647" s="158"/>
      <c r="S647" s="158"/>
      <c r="T647" s="173"/>
      <c r="U647" s="158"/>
      <c r="V647" s="158"/>
      <c r="W647" s="158"/>
      <c r="X647" s="158"/>
      <c r="Y647" s="173"/>
      <c r="Z647" s="158"/>
      <c r="AA647" s="160"/>
      <c r="AB647" s="158"/>
      <c r="AC647" s="158"/>
      <c r="AD647" s="160"/>
      <c r="AE647" s="160"/>
      <c r="AF647" s="158"/>
      <c r="AG647" s="158"/>
      <c r="AH647" s="158"/>
      <c r="AI647" s="158"/>
      <c r="AJ647" s="158"/>
      <c r="AK647" s="173"/>
      <c r="AL647" s="158"/>
      <c r="AM647" s="173"/>
      <c r="AN647" s="158"/>
      <c r="AO647" s="158"/>
      <c r="AP647" s="173"/>
      <c r="AQ647" s="158"/>
      <c r="AR647" s="173"/>
      <c r="AS647" s="158"/>
      <c r="AT647" s="158"/>
      <c r="AU647" s="173"/>
      <c r="AV647" s="158"/>
      <c r="AW647" s="173"/>
      <c r="AX647" s="158"/>
      <c r="AY647" s="158"/>
      <c r="AZ647" s="158"/>
      <c r="BA647" s="158"/>
      <c r="BB647" s="173"/>
      <c r="BC647" s="158"/>
      <c r="BD647" s="158"/>
      <c r="BE647" s="158"/>
      <c r="BF647" s="158"/>
      <c r="BG647" s="160"/>
      <c r="BH647" s="158"/>
      <c r="BI647" s="158"/>
      <c r="BJ647" s="173"/>
      <c r="BK647" s="158"/>
      <c r="BL647" s="158"/>
      <c r="BM647" s="163"/>
      <c r="BN647" s="158"/>
      <c r="BO647" s="158"/>
      <c r="BP647" s="158"/>
      <c r="BQ647" s="186"/>
    </row>
    <row r="648" spans="1:270" ht="40.5" customHeight="1" outlineLevel="1" x14ac:dyDescent="0.3">
      <c r="A648" s="15" t="s">
        <v>834</v>
      </c>
      <c r="B648" s="14" t="s">
        <v>837</v>
      </c>
      <c r="C648" s="9" t="s">
        <v>6</v>
      </c>
      <c r="D648" s="66" t="s">
        <v>838</v>
      </c>
      <c r="E648" s="158">
        <f t="shared" si="131"/>
        <v>6354.8027999999995</v>
      </c>
      <c r="F648" s="159">
        <f t="shared" si="132"/>
        <v>2363.0741800000001</v>
      </c>
      <c r="G648" s="160">
        <f t="shared" si="133"/>
        <v>3991.7286199999999</v>
      </c>
      <c r="H648" s="159">
        <v>911.42100000000005</v>
      </c>
      <c r="I648" s="160">
        <v>303.80700000000002</v>
      </c>
      <c r="J648" s="160"/>
      <c r="K648" s="160"/>
      <c r="L648" s="166">
        <f>135.56934+1316.08384</f>
        <v>1451.65318</v>
      </c>
      <c r="M648" s="160">
        <f>212.48008+2062.72002</f>
        <v>2275.2001</v>
      </c>
      <c r="N648" s="160"/>
      <c r="O648" s="160"/>
      <c r="P648" s="158"/>
      <c r="Q648" s="173"/>
      <c r="R648" s="158"/>
      <c r="S648" s="158"/>
      <c r="T648" s="173"/>
      <c r="U648" s="158"/>
      <c r="V648" s="158"/>
      <c r="W648" s="158"/>
      <c r="X648" s="158"/>
      <c r="Y648" s="173"/>
      <c r="Z648" s="158"/>
      <c r="AA648" s="165"/>
      <c r="AB648" s="158"/>
      <c r="AC648" s="158"/>
      <c r="AD648" s="160"/>
      <c r="AE648" s="160"/>
      <c r="AF648" s="158"/>
      <c r="AG648" s="158"/>
      <c r="AH648" s="158"/>
      <c r="AI648" s="158">
        <v>1364.5889999999999</v>
      </c>
      <c r="AJ648" s="158"/>
      <c r="AK648" s="173"/>
      <c r="AL648" s="158"/>
      <c r="AM648" s="173"/>
      <c r="AN648" s="158"/>
      <c r="AO648" s="158"/>
      <c r="AP648" s="173"/>
      <c r="AQ648" s="158"/>
      <c r="AR648" s="173"/>
      <c r="AS648" s="158"/>
      <c r="AT648" s="158"/>
      <c r="AU648" s="173"/>
      <c r="AV648" s="158"/>
      <c r="AW648" s="173"/>
      <c r="AX648" s="158"/>
      <c r="AY648" s="158"/>
      <c r="AZ648" s="158"/>
      <c r="BA648" s="158"/>
      <c r="BB648" s="173"/>
      <c r="BC648" s="158"/>
      <c r="BD648" s="158"/>
      <c r="BE648" s="160">
        <v>48.13252</v>
      </c>
      <c r="BF648" s="160"/>
      <c r="BG648" s="160"/>
      <c r="BH648" s="158"/>
      <c r="BI648" s="158"/>
      <c r="BJ648" s="173"/>
      <c r="BK648" s="158"/>
      <c r="BL648" s="158"/>
      <c r="BM648" s="163"/>
      <c r="BN648" s="158"/>
      <c r="BO648" s="158"/>
      <c r="BP648" s="158"/>
      <c r="BQ648" s="186"/>
    </row>
    <row r="649" spans="1:270" s="34" customFormat="1" ht="39.950000000000003" customHeight="1" x14ac:dyDescent="0.3">
      <c r="A649" s="118" t="s">
        <v>847</v>
      </c>
      <c r="B649" s="120"/>
      <c r="C649" s="116" t="s">
        <v>80</v>
      </c>
      <c r="D649" s="117"/>
      <c r="E649" s="173">
        <f t="shared" ref="E649:AI649" si="134">SUBTOTAL(9,E640:E648)</f>
        <v>46576.710760000002</v>
      </c>
      <c r="F649" s="173">
        <f t="shared" si="134"/>
        <v>26461.734560000001</v>
      </c>
      <c r="G649" s="173">
        <f t="shared" si="134"/>
        <v>20114.976200000001</v>
      </c>
      <c r="H649" s="173">
        <f t="shared" si="134"/>
        <v>1116.6960000000001</v>
      </c>
      <c r="I649" s="173">
        <f t="shared" si="134"/>
        <v>372.23200000000003</v>
      </c>
      <c r="J649" s="173">
        <f t="shared" si="134"/>
        <v>0</v>
      </c>
      <c r="K649" s="173">
        <f t="shared" si="134"/>
        <v>0</v>
      </c>
      <c r="L649" s="173">
        <f t="shared" si="134"/>
        <v>2846.1564499999999</v>
      </c>
      <c r="M649" s="173">
        <f t="shared" si="134"/>
        <v>4460.8281999999999</v>
      </c>
      <c r="N649" s="173">
        <f t="shared" si="134"/>
        <v>0</v>
      </c>
      <c r="O649" s="173">
        <f>SUBTOTAL(9,O640:O648)</f>
        <v>0</v>
      </c>
      <c r="P649" s="173">
        <f>SUBTOTAL(9,P640:P648)</f>
        <v>0</v>
      </c>
      <c r="Q649" s="173">
        <f t="shared" si="134"/>
        <v>0</v>
      </c>
      <c r="R649" s="173">
        <f t="shared" si="134"/>
        <v>0</v>
      </c>
      <c r="S649" s="173">
        <f t="shared" si="134"/>
        <v>112.2</v>
      </c>
      <c r="T649" s="173">
        <f>SUBTOTAL(9,T640:T648)</f>
        <v>0</v>
      </c>
      <c r="U649" s="173">
        <f>SUBTOTAL(9,U640:U648)</f>
        <v>0</v>
      </c>
      <c r="V649" s="173">
        <f t="shared" si="134"/>
        <v>0</v>
      </c>
      <c r="W649" s="173">
        <f t="shared" si="134"/>
        <v>0</v>
      </c>
      <c r="X649" s="173">
        <f>SUBTOTAL(9,X640:X648)</f>
        <v>0</v>
      </c>
      <c r="Y649" s="173">
        <f t="shared" si="134"/>
        <v>18.73536</v>
      </c>
      <c r="Z649" s="173">
        <f t="shared" si="134"/>
        <v>6.24512</v>
      </c>
      <c r="AA649" s="173">
        <f t="shared" si="134"/>
        <v>101.43810999999999</v>
      </c>
      <c r="AB649" s="173">
        <f t="shared" si="134"/>
        <v>0</v>
      </c>
      <c r="AC649" s="173">
        <f t="shared" si="134"/>
        <v>0</v>
      </c>
      <c r="AD649" s="173">
        <f>SUBTOTAL(9,AD640:AD648)</f>
        <v>0</v>
      </c>
      <c r="AE649" s="173">
        <f t="shared" si="134"/>
        <v>0</v>
      </c>
      <c r="AF649" s="173">
        <f t="shared" si="134"/>
        <v>0</v>
      </c>
      <c r="AG649" s="173">
        <f t="shared" si="134"/>
        <v>0</v>
      </c>
      <c r="AH649" s="173">
        <f t="shared" si="134"/>
        <v>0</v>
      </c>
      <c r="AI649" s="173">
        <f t="shared" si="134"/>
        <v>1364.5889999999999</v>
      </c>
      <c r="AJ649" s="173">
        <f t="shared" ref="AJ649:BQ649" si="135">SUBTOTAL(9,AJ640:AJ648)</f>
        <v>0</v>
      </c>
      <c r="AK649" s="173">
        <f t="shared" si="135"/>
        <v>22480.14675</v>
      </c>
      <c r="AL649" s="173">
        <f t="shared" si="135"/>
        <v>7493.3822499999997</v>
      </c>
      <c r="AM649" s="173">
        <f>SUBTOTAL(9,AM640:AM648)</f>
        <v>0</v>
      </c>
      <c r="AN649" s="173">
        <f>SUBTOTAL(9,AN640:AN648)</f>
        <v>0</v>
      </c>
      <c r="AO649" s="173">
        <f>SUBTOTAL(9,AO640:AO648)</f>
        <v>0</v>
      </c>
      <c r="AP649" s="173">
        <f t="shared" si="135"/>
        <v>0</v>
      </c>
      <c r="AQ649" s="173">
        <f t="shared" si="135"/>
        <v>0</v>
      </c>
      <c r="AR649" s="173">
        <f t="shared" si="135"/>
        <v>0</v>
      </c>
      <c r="AS649" s="173">
        <f t="shared" si="135"/>
        <v>0</v>
      </c>
      <c r="AT649" s="173">
        <f>SUBTOTAL(9,AT640:AT648)</f>
        <v>0</v>
      </c>
      <c r="AU649" s="173">
        <f t="shared" si="135"/>
        <v>0</v>
      </c>
      <c r="AV649" s="173">
        <f t="shared" si="135"/>
        <v>0</v>
      </c>
      <c r="AW649" s="173">
        <f t="shared" si="135"/>
        <v>0</v>
      </c>
      <c r="AX649" s="173">
        <f t="shared" si="135"/>
        <v>0</v>
      </c>
      <c r="AY649" s="173">
        <f t="shared" si="135"/>
        <v>0</v>
      </c>
      <c r="AZ649" s="173">
        <f t="shared" si="135"/>
        <v>0</v>
      </c>
      <c r="BA649" s="173">
        <f t="shared" si="135"/>
        <v>0</v>
      </c>
      <c r="BB649" s="173">
        <f t="shared" si="135"/>
        <v>0</v>
      </c>
      <c r="BC649" s="173">
        <f t="shared" si="135"/>
        <v>0</v>
      </c>
      <c r="BD649" s="173">
        <f t="shared" si="135"/>
        <v>0</v>
      </c>
      <c r="BE649" s="173">
        <f t="shared" si="135"/>
        <v>48.13252</v>
      </c>
      <c r="BF649" s="173">
        <f t="shared" si="135"/>
        <v>0</v>
      </c>
      <c r="BG649" s="173">
        <f t="shared" si="135"/>
        <v>385.70000000000005</v>
      </c>
      <c r="BH649" s="173">
        <f t="shared" si="135"/>
        <v>5770.2290000000003</v>
      </c>
      <c r="BI649" s="173">
        <f t="shared" si="135"/>
        <v>0</v>
      </c>
      <c r="BJ649" s="173">
        <f t="shared" si="135"/>
        <v>0</v>
      </c>
      <c r="BK649" s="173">
        <f t="shared" si="135"/>
        <v>0</v>
      </c>
      <c r="BL649" s="173">
        <f t="shared" si="135"/>
        <v>0</v>
      </c>
      <c r="BM649" s="174">
        <f>SUBTOTAL(9,BM640:BM648)</f>
        <v>0</v>
      </c>
      <c r="BN649" s="173">
        <f t="shared" si="135"/>
        <v>0</v>
      </c>
      <c r="BO649" s="173">
        <f t="shared" si="135"/>
        <v>0</v>
      </c>
      <c r="BP649" s="173">
        <f t="shared" si="135"/>
        <v>0</v>
      </c>
      <c r="BQ649" s="174">
        <f t="shared" si="135"/>
        <v>0</v>
      </c>
      <c r="BR649" s="40"/>
      <c r="BS649" s="40"/>
      <c r="BT649" s="40"/>
      <c r="BU649" s="40"/>
      <c r="BV649" s="40"/>
      <c r="BW649" s="40"/>
      <c r="BX649" s="40"/>
      <c r="BY649" s="40"/>
      <c r="BZ649" s="40"/>
      <c r="CA649" s="40"/>
      <c r="CB649" s="40"/>
      <c r="CC649" s="40"/>
      <c r="CD649" s="40"/>
      <c r="CE649" s="40"/>
      <c r="CF649" s="40"/>
      <c r="CG649" s="40"/>
      <c r="CH649" s="40"/>
      <c r="CI649" s="40"/>
      <c r="CJ649" s="40"/>
      <c r="CK649" s="40"/>
      <c r="CL649" s="40"/>
      <c r="CM649" s="40"/>
      <c r="CN649" s="40"/>
      <c r="CO649" s="40"/>
      <c r="CP649" s="40"/>
      <c r="CQ649" s="40"/>
      <c r="CR649" s="40"/>
      <c r="CS649" s="40"/>
      <c r="CT649" s="40"/>
      <c r="CU649" s="40"/>
      <c r="CV649" s="40"/>
      <c r="CW649" s="40"/>
      <c r="CX649" s="40"/>
      <c r="CY649" s="40"/>
      <c r="CZ649" s="40"/>
      <c r="DA649" s="40"/>
      <c r="DB649" s="40"/>
      <c r="DC649" s="40"/>
      <c r="DD649" s="40"/>
      <c r="DE649" s="40"/>
      <c r="DF649" s="40"/>
      <c r="DG649" s="40"/>
      <c r="DH649" s="40"/>
      <c r="DI649" s="40"/>
      <c r="DJ649" s="40"/>
      <c r="DK649" s="40"/>
      <c r="DL649" s="40"/>
      <c r="DM649" s="40"/>
      <c r="DN649" s="40"/>
      <c r="DO649" s="40"/>
      <c r="DP649" s="40"/>
      <c r="DQ649" s="40"/>
      <c r="DR649" s="40"/>
      <c r="DS649" s="40"/>
      <c r="DT649" s="40"/>
      <c r="DU649" s="40"/>
      <c r="DV649" s="40"/>
      <c r="DW649" s="40"/>
      <c r="DX649" s="40"/>
      <c r="DY649" s="40"/>
      <c r="DZ649" s="40"/>
      <c r="EA649" s="40"/>
      <c r="EB649" s="40"/>
      <c r="EC649" s="40"/>
      <c r="ED649" s="40"/>
      <c r="EE649" s="40"/>
      <c r="EF649" s="40"/>
      <c r="EG649" s="40"/>
      <c r="EH649" s="40"/>
      <c r="EI649" s="40"/>
      <c r="EJ649" s="40"/>
      <c r="EK649" s="40"/>
      <c r="EL649" s="40"/>
      <c r="EM649" s="40"/>
      <c r="EN649" s="40"/>
      <c r="EO649" s="40"/>
      <c r="EP649" s="40"/>
      <c r="EQ649" s="40"/>
      <c r="ER649" s="40"/>
      <c r="ES649" s="40"/>
      <c r="ET649" s="40"/>
      <c r="EU649" s="40"/>
      <c r="EV649" s="40"/>
      <c r="EW649" s="40"/>
      <c r="EX649" s="40"/>
      <c r="EY649" s="40"/>
      <c r="EZ649" s="40"/>
      <c r="FA649" s="40"/>
      <c r="FB649" s="40"/>
      <c r="FC649" s="40"/>
      <c r="FD649" s="40"/>
      <c r="FE649" s="40"/>
      <c r="FF649" s="40"/>
      <c r="FG649" s="40"/>
      <c r="FH649" s="40"/>
      <c r="FI649" s="40"/>
      <c r="FJ649" s="40"/>
      <c r="FK649" s="40"/>
      <c r="FL649" s="40"/>
      <c r="FM649" s="40"/>
      <c r="FN649" s="40"/>
      <c r="FO649" s="40"/>
      <c r="FP649" s="40"/>
      <c r="FQ649" s="40"/>
      <c r="FR649" s="40"/>
      <c r="FS649" s="40"/>
      <c r="FT649" s="40"/>
      <c r="FU649" s="40"/>
      <c r="FV649" s="40"/>
      <c r="FW649" s="40"/>
      <c r="FX649" s="40"/>
      <c r="FY649" s="40"/>
      <c r="FZ649" s="40"/>
      <c r="GA649" s="40"/>
      <c r="GB649" s="40"/>
      <c r="GC649" s="40"/>
      <c r="GD649" s="40"/>
      <c r="GE649" s="40"/>
      <c r="GF649" s="40"/>
      <c r="GG649" s="40"/>
      <c r="GH649" s="40"/>
      <c r="GI649" s="40"/>
      <c r="GJ649" s="40"/>
      <c r="GK649" s="40"/>
      <c r="GL649" s="40"/>
      <c r="GM649" s="40"/>
      <c r="GN649" s="40"/>
      <c r="GO649" s="40"/>
      <c r="GP649" s="40"/>
      <c r="GQ649" s="40"/>
      <c r="GR649" s="40"/>
      <c r="GS649" s="40"/>
      <c r="GT649" s="40"/>
      <c r="GU649" s="40"/>
      <c r="GV649" s="40"/>
      <c r="GW649" s="40"/>
      <c r="GX649" s="40"/>
      <c r="GY649" s="40"/>
      <c r="GZ649" s="40"/>
      <c r="HA649" s="40"/>
      <c r="HB649" s="40"/>
      <c r="HC649" s="40"/>
      <c r="HD649" s="40"/>
      <c r="HE649" s="40"/>
      <c r="HF649" s="40"/>
      <c r="HG649" s="40"/>
      <c r="HH649" s="40"/>
      <c r="HI649" s="40"/>
      <c r="HJ649" s="40"/>
      <c r="HK649" s="40"/>
      <c r="HL649" s="40"/>
      <c r="HM649" s="40"/>
      <c r="HN649" s="40"/>
      <c r="HO649" s="40"/>
      <c r="HP649" s="40"/>
      <c r="HQ649" s="40"/>
      <c r="HR649" s="40"/>
      <c r="HS649" s="40"/>
      <c r="HT649" s="40"/>
      <c r="HU649" s="40"/>
      <c r="HV649" s="40"/>
      <c r="HW649" s="40"/>
      <c r="HX649" s="40"/>
      <c r="HY649" s="40"/>
      <c r="HZ649" s="40"/>
      <c r="IA649" s="40"/>
      <c r="IB649" s="40"/>
      <c r="IC649" s="40"/>
      <c r="ID649" s="40"/>
      <c r="IE649" s="40"/>
      <c r="IF649" s="40"/>
      <c r="IG649" s="40"/>
      <c r="IH649" s="40"/>
      <c r="II649" s="40"/>
      <c r="IJ649" s="40"/>
      <c r="IK649" s="40"/>
      <c r="IL649" s="40"/>
      <c r="IM649" s="40"/>
      <c r="IN649" s="40"/>
      <c r="IO649" s="40"/>
      <c r="IP649" s="40"/>
      <c r="IQ649" s="40"/>
      <c r="IR649" s="40"/>
      <c r="IS649" s="40"/>
      <c r="IT649" s="40"/>
      <c r="IU649" s="40"/>
      <c r="IV649" s="40"/>
      <c r="IW649" s="40"/>
      <c r="IX649" s="40"/>
      <c r="IY649" s="40"/>
      <c r="IZ649" s="40"/>
      <c r="JA649" s="40"/>
      <c r="JB649" s="40"/>
      <c r="JC649" s="40"/>
      <c r="JD649" s="40"/>
      <c r="JE649" s="40"/>
      <c r="JF649" s="40"/>
      <c r="JG649" s="40"/>
      <c r="JH649" s="40"/>
      <c r="JI649" s="40"/>
      <c r="JJ649" s="40"/>
    </row>
    <row r="650" spans="1:270" ht="39.950000000000003" customHeight="1" outlineLevel="1" x14ac:dyDescent="0.3">
      <c r="A650" s="15" t="s">
        <v>848</v>
      </c>
      <c r="B650" s="14" t="s">
        <v>1108</v>
      </c>
      <c r="C650" s="9" t="s">
        <v>30</v>
      </c>
      <c r="D650" s="9" t="s">
        <v>1237</v>
      </c>
      <c r="E650" s="158">
        <f t="shared" ref="E650:E656" si="136">F650+G650</f>
        <v>35.75311</v>
      </c>
      <c r="F650" s="159">
        <f t="shared" ref="F650:F656" si="137">H650+L650+Q650+Y650+T650+AK650+AP650+AM650+AR650+AU650+AW650+BB650+BJ650</f>
        <v>13.926259999999999</v>
      </c>
      <c r="G650" s="160">
        <f t="shared" ref="G650:G656" si="138">I650+J650+K650+M650+N650+R650+S650+V650+W650+AD650+O650+X650+Z650+AA650+AB650+AC650+AE650+AF650+P650+U650+AG650+AH650+AI650+AO650+AJ650+AL650+AQ650+AN650+AS650+AV650+AX650+AY650+AZ650+BA650+BC650+BD650+BE650+BF650+BG650+BH650+BI650+AT650+BK650+BL650+BN650+BO650+BP650+BQ650+BM650</f>
        <v>21.82685</v>
      </c>
      <c r="H650" s="166"/>
      <c r="I650" s="165"/>
      <c r="J650" s="160"/>
      <c r="K650" s="160"/>
      <c r="L650" s="166">
        <v>13.926259999999999</v>
      </c>
      <c r="M650" s="165">
        <v>21.82685</v>
      </c>
      <c r="N650" s="165"/>
      <c r="O650" s="165"/>
      <c r="P650" s="160"/>
      <c r="Q650" s="166"/>
      <c r="R650" s="165"/>
      <c r="S650" s="165"/>
      <c r="T650" s="159"/>
      <c r="U650" s="160"/>
      <c r="V650" s="165"/>
      <c r="W650" s="165"/>
      <c r="X650" s="160"/>
      <c r="Y650" s="166"/>
      <c r="Z650" s="160"/>
      <c r="AA650" s="160"/>
      <c r="AB650" s="165"/>
      <c r="AC650" s="165"/>
      <c r="AD650" s="165"/>
      <c r="AE650" s="165"/>
      <c r="AF650" s="160"/>
      <c r="AG650" s="160"/>
      <c r="AH650" s="160"/>
      <c r="AI650" s="160"/>
      <c r="AJ650" s="161"/>
      <c r="AK650" s="162"/>
      <c r="AL650" s="165"/>
      <c r="AM650" s="166"/>
      <c r="AN650" s="165"/>
      <c r="AO650" s="160"/>
      <c r="AP650" s="162"/>
      <c r="AQ650" s="161"/>
      <c r="AR650" s="162"/>
      <c r="AS650" s="161"/>
      <c r="AT650" s="165"/>
      <c r="AU650" s="166"/>
      <c r="AV650" s="165"/>
      <c r="AW650" s="166"/>
      <c r="AX650" s="165"/>
      <c r="AY650" s="165"/>
      <c r="AZ650" s="165"/>
      <c r="BA650" s="165"/>
      <c r="BB650" s="166"/>
      <c r="BC650" s="165"/>
      <c r="BD650" s="165"/>
      <c r="BE650" s="165"/>
      <c r="BF650" s="165"/>
      <c r="BG650" s="165"/>
      <c r="BH650" s="165"/>
      <c r="BI650" s="165"/>
      <c r="BJ650" s="166"/>
      <c r="BK650" s="165"/>
      <c r="BL650" s="165"/>
      <c r="BM650" s="163"/>
      <c r="BN650" s="165"/>
      <c r="BO650" s="165"/>
      <c r="BP650" s="165"/>
      <c r="BQ650" s="167"/>
    </row>
    <row r="651" spans="1:270" ht="39.950000000000003" customHeight="1" outlineLevel="1" x14ac:dyDescent="0.3">
      <c r="A651" s="15" t="s">
        <v>848</v>
      </c>
      <c r="B651" s="14" t="s">
        <v>1523</v>
      </c>
      <c r="C651" s="9" t="s">
        <v>30</v>
      </c>
      <c r="D651" s="9" t="s">
        <v>1573</v>
      </c>
      <c r="E651" s="158">
        <f t="shared" si="136"/>
        <v>47.977119999999999</v>
      </c>
      <c r="F651" s="159">
        <f t="shared" si="137"/>
        <v>0</v>
      </c>
      <c r="G651" s="160">
        <f t="shared" si="138"/>
        <v>47.977119999999999</v>
      </c>
      <c r="H651" s="166"/>
      <c r="I651" s="165"/>
      <c r="J651" s="160"/>
      <c r="K651" s="160"/>
      <c r="L651" s="166"/>
      <c r="M651" s="165"/>
      <c r="N651" s="165"/>
      <c r="O651" s="165"/>
      <c r="P651" s="160"/>
      <c r="Q651" s="166"/>
      <c r="R651" s="165"/>
      <c r="S651" s="165"/>
      <c r="T651" s="159"/>
      <c r="U651" s="160"/>
      <c r="V651" s="165"/>
      <c r="W651" s="165"/>
      <c r="X651" s="160"/>
      <c r="Y651" s="166"/>
      <c r="Z651" s="160"/>
      <c r="AA651" s="160">
        <v>47.977119999999999</v>
      </c>
      <c r="AB651" s="165"/>
      <c r="AC651" s="165"/>
      <c r="AD651" s="165"/>
      <c r="AE651" s="165"/>
      <c r="AF651" s="160"/>
      <c r="AG651" s="160"/>
      <c r="AH651" s="160"/>
      <c r="AI651" s="160"/>
      <c r="AJ651" s="161"/>
      <c r="AK651" s="162"/>
      <c r="AL651" s="165"/>
      <c r="AM651" s="166"/>
      <c r="AN651" s="165"/>
      <c r="AO651" s="160"/>
      <c r="AP651" s="162"/>
      <c r="AQ651" s="161"/>
      <c r="AR651" s="162"/>
      <c r="AS651" s="161"/>
      <c r="AT651" s="165"/>
      <c r="AU651" s="166"/>
      <c r="AV651" s="165"/>
      <c r="AW651" s="166"/>
      <c r="AX651" s="165"/>
      <c r="AY651" s="165"/>
      <c r="AZ651" s="165"/>
      <c r="BA651" s="165"/>
      <c r="BB651" s="166"/>
      <c r="BC651" s="165"/>
      <c r="BD651" s="165"/>
      <c r="BE651" s="165"/>
      <c r="BF651" s="165"/>
      <c r="BG651" s="165"/>
      <c r="BH651" s="165"/>
      <c r="BI651" s="165"/>
      <c r="BJ651" s="166"/>
      <c r="BK651" s="165"/>
      <c r="BL651" s="165"/>
      <c r="BM651" s="163"/>
      <c r="BN651" s="165"/>
      <c r="BO651" s="165"/>
      <c r="BP651" s="165"/>
      <c r="BQ651" s="167"/>
    </row>
    <row r="652" spans="1:270" ht="39.950000000000003" customHeight="1" outlineLevel="1" x14ac:dyDescent="0.3">
      <c r="A652" s="15" t="s">
        <v>848</v>
      </c>
      <c r="B652" s="14" t="s">
        <v>1413</v>
      </c>
      <c r="C652" s="9" t="s">
        <v>30</v>
      </c>
      <c r="D652" s="9" t="s">
        <v>1458</v>
      </c>
      <c r="E652" s="158">
        <f t="shared" si="136"/>
        <v>2977.2</v>
      </c>
      <c r="F652" s="159">
        <f t="shared" si="137"/>
        <v>0</v>
      </c>
      <c r="G652" s="160">
        <f t="shared" si="138"/>
        <v>2977.2</v>
      </c>
      <c r="H652" s="166"/>
      <c r="I652" s="165"/>
      <c r="J652" s="160"/>
      <c r="K652" s="160"/>
      <c r="L652" s="166"/>
      <c r="M652" s="165"/>
      <c r="N652" s="165"/>
      <c r="O652" s="165"/>
      <c r="P652" s="160"/>
      <c r="Q652" s="166"/>
      <c r="R652" s="165"/>
      <c r="S652" s="165"/>
      <c r="T652" s="159"/>
      <c r="U652" s="160"/>
      <c r="V652" s="165"/>
      <c r="W652" s="165"/>
      <c r="X652" s="160"/>
      <c r="Y652" s="166"/>
      <c r="Z652" s="160"/>
      <c r="AA652" s="160"/>
      <c r="AB652" s="165"/>
      <c r="AC652" s="165"/>
      <c r="AD652" s="165"/>
      <c r="AE652" s="165"/>
      <c r="AF652" s="160"/>
      <c r="AG652" s="160"/>
      <c r="AH652" s="160"/>
      <c r="AI652" s="160"/>
      <c r="AJ652" s="161">
        <v>2977.2</v>
      </c>
      <c r="AK652" s="162"/>
      <c r="AL652" s="165"/>
      <c r="AM652" s="166"/>
      <c r="AN652" s="165"/>
      <c r="AO652" s="160"/>
      <c r="AP652" s="162"/>
      <c r="AQ652" s="161"/>
      <c r="AR652" s="162"/>
      <c r="AS652" s="161"/>
      <c r="AT652" s="165"/>
      <c r="AU652" s="166"/>
      <c r="AV652" s="165"/>
      <c r="AW652" s="166"/>
      <c r="AX652" s="165"/>
      <c r="AY652" s="165"/>
      <c r="AZ652" s="165"/>
      <c r="BA652" s="165"/>
      <c r="BB652" s="166"/>
      <c r="BC652" s="165"/>
      <c r="BD652" s="165"/>
      <c r="BE652" s="165"/>
      <c r="BF652" s="165"/>
      <c r="BG652" s="165"/>
      <c r="BH652" s="165"/>
      <c r="BI652" s="165"/>
      <c r="BJ652" s="166"/>
      <c r="BK652" s="165"/>
      <c r="BL652" s="165"/>
      <c r="BM652" s="163"/>
      <c r="BN652" s="165"/>
      <c r="BO652" s="165"/>
      <c r="BP652" s="165"/>
      <c r="BQ652" s="167"/>
    </row>
    <row r="653" spans="1:270" ht="39.950000000000003" customHeight="1" outlineLevel="1" x14ac:dyDescent="0.3">
      <c r="A653" s="15" t="s">
        <v>848</v>
      </c>
      <c r="B653" s="14" t="s">
        <v>849</v>
      </c>
      <c r="C653" s="9" t="s">
        <v>6</v>
      </c>
      <c r="D653" s="66" t="s">
        <v>850</v>
      </c>
      <c r="E653" s="158">
        <f t="shared" si="136"/>
        <v>415.19108</v>
      </c>
      <c r="F653" s="159">
        <f t="shared" si="137"/>
        <v>74.457260000000005</v>
      </c>
      <c r="G653" s="160">
        <f t="shared" si="138"/>
        <v>340.73381999999998</v>
      </c>
      <c r="H653" s="166"/>
      <c r="I653" s="165"/>
      <c r="J653" s="160"/>
      <c r="K653" s="160"/>
      <c r="L653" s="166">
        <v>74.457260000000005</v>
      </c>
      <c r="M653" s="165">
        <v>116.69808999999999</v>
      </c>
      <c r="N653" s="165"/>
      <c r="O653" s="165"/>
      <c r="P653" s="160"/>
      <c r="Q653" s="166"/>
      <c r="R653" s="165"/>
      <c r="S653" s="165"/>
      <c r="T653" s="159"/>
      <c r="U653" s="160"/>
      <c r="V653" s="165"/>
      <c r="W653" s="165"/>
      <c r="X653" s="160"/>
      <c r="Y653" s="166"/>
      <c r="Z653" s="160"/>
      <c r="AA653" s="160"/>
      <c r="AB653" s="165"/>
      <c r="AC653" s="165"/>
      <c r="AD653" s="165"/>
      <c r="AE653" s="165"/>
      <c r="AF653" s="160"/>
      <c r="AG653" s="160"/>
      <c r="AH653" s="160"/>
      <c r="AI653" s="160"/>
      <c r="AJ653" s="161"/>
      <c r="AK653" s="162"/>
      <c r="AL653" s="165"/>
      <c r="AM653" s="166"/>
      <c r="AN653" s="165"/>
      <c r="AO653" s="160"/>
      <c r="AP653" s="162"/>
      <c r="AQ653" s="161"/>
      <c r="AR653" s="162"/>
      <c r="AS653" s="161"/>
      <c r="AT653" s="165"/>
      <c r="AU653" s="166"/>
      <c r="AV653" s="165"/>
      <c r="AW653" s="166"/>
      <c r="AX653" s="165"/>
      <c r="AY653" s="165"/>
      <c r="AZ653" s="165"/>
      <c r="BA653" s="165"/>
      <c r="BB653" s="166"/>
      <c r="BC653" s="165"/>
      <c r="BD653" s="165"/>
      <c r="BE653" s="165"/>
      <c r="BF653" s="165"/>
      <c r="BG653" s="165"/>
      <c r="BH653" s="165"/>
      <c r="BI653" s="165"/>
      <c r="BJ653" s="166"/>
      <c r="BK653" s="165"/>
      <c r="BL653" s="165"/>
      <c r="BM653" s="163"/>
      <c r="BN653" s="165"/>
      <c r="BO653" s="165">
        <v>224.03573</v>
      </c>
      <c r="BP653" s="165"/>
      <c r="BQ653" s="167"/>
    </row>
    <row r="654" spans="1:270" ht="39.950000000000003" customHeight="1" outlineLevel="1" x14ac:dyDescent="0.3">
      <c r="A654" s="15" t="s">
        <v>848</v>
      </c>
      <c r="B654" s="14" t="s">
        <v>851</v>
      </c>
      <c r="C654" s="9" t="s">
        <v>6</v>
      </c>
      <c r="D654" s="66" t="s">
        <v>852</v>
      </c>
      <c r="E654" s="158">
        <f t="shared" si="136"/>
        <v>6107.8691099999996</v>
      </c>
      <c r="F654" s="159">
        <f t="shared" si="137"/>
        <v>533.85253</v>
      </c>
      <c r="G654" s="160">
        <f t="shared" si="138"/>
        <v>5574.0165799999995</v>
      </c>
      <c r="H654" s="166">
        <v>170.37825000000001</v>
      </c>
      <c r="I654" s="165">
        <v>56.792749999999998</v>
      </c>
      <c r="J654" s="160"/>
      <c r="K654" s="160"/>
      <c r="L654" s="166">
        <v>293.44432999999998</v>
      </c>
      <c r="M654" s="165">
        <v>459.92016999999998</v>
      </c>
      <c r="N654" s="165"/>
      <c r="O654" s="165"/>
      <c r="P654" s="160"/>
      <c r="Q654" s="166"/>
      <c r="R654" s="165"/>
      <c r="S654" s="165"/>
      <c r="T654" s="159"/>
      <c r="U654" s="160"/>
      <c r="V654" s="165"/>
      <c r="W654" s="165"/>
      <c r="X654" s="160"/>
      <c r="Y654" s="166"/>
      <c r="Z654" s="160"/>
      <c r="AA654" s="160"/>
      <c r="AB654" s="165"/>
      <c r="AC654" s="165"/>
      <c r="AD654" s="165"/>
      <c r="AE654" s="165"/>
      <c r="AF654" s="160"/>
      <c r="AG654" s="160"/>
      <c r="AH654" s="160"/>
      <c r="AI654" s="160"/>
      <c r="AJ654" s="161"/>
      <c r="AK654" s="162"/>
      <c r="AL654" s="165"/>
      <c r="AM654" s="166"/>
      <c r="AN654" s="165"/>
      <c r="AO654" s="160"/>
      <c r="AP654" s="162"/>
      <c r="AQ654" s="161"/>
      <c r="AR654" s="162"/>
      <c r="AS654" s="161"/>
      <c r="AT654" s="165"/>
      <c r="AU654" s="166"/>
      <c r="AV654" s="165"/>
      <c r="AW654" s="166">
        <v>70.029949999999999</v>
      </c>
      <c r="AX654" s="165">
        <f>6.72885+20.91803</f>
        <v>27.646880000000003</v>
      </c>
      <c r="AY654" s="165"/>
      <c r="AZ654" s="165"/>
      <c r="BA654" s="165"/>
      <c r="BB654" s="166"/>
      <c r="BC654" s="165"/>
      <c r="BD654" s="165"/>
      <c r="BE654" s="165">
        <v>605.64583000000005</v>
      </c>
      <c r="BF654" s="165"/>
      <c r="BG654" s="165">
        <v>328.61765000000003</v>
      </c>
      <c r="BH654" s="165">
        <v>3000</v>
      </c>
      <c r="BI654" s="165"/>
      <c r="BJ654" s="166"/>
      <c r="BK654" s="165"/>
      <c r="BL654" s="165"/>
      <c r="BM654" s="163"/>
      <c r="BN654" s="165"/>
      <c r="BO654" s="165">
        <v>1095.3933</v>
      </c>
      <c r="BP654" s="165"/>
      <c r="BQ654" s="167"/>
    </row>
    <row r="655" spans="1:270" ht="39.950000000000003" customHeight="1" outlineLevel="1" x14ac:dyDescent="0.3">
      <c r="A655" s="15" t="s">
        <v>848</v>
      </c>
      <c r="B655" s="14" t="s">
        <v>853</v>
      </c>
      <c r="C655" s="9" t="s">
        <v>6</v>
      </c>
      <c r="D655" s="66" t="s">
        <v>854</v>
      </c>
      <c r="E655" s="158">
        <f t="shared" si="136"/>
        <v>82.194500000000005</v>
      </c>
      <c r="F655" s="159">
        <f t="shared" si="137"/>
        <v>32.015720000000002</v>
      </c>
      <c r="G655" s="160">
        <f t="shared" si="138"/>
        <v>50.178780000000003</v>
      </c>
      <c r="H655" s="166"/>
      <c r="I655" s="165"/>
      <c r="J655" s="160"/>
      <c r="K655" s="160"/>
      <c r="L655" s="166">
        <v>32.015720000000002</v>
      </c>
      <c r="M655" s="165">
        <v>50.178780000000003</v>
      </c>
      <c r="N655" s="165"/>
      <c r="O655" s="165"/>
      <c r="P655" s="160"/>
      <c r="Q655" s="166"/>
      <c r="R655" s="165"/>
      <c r="S655" s="165"/>
      <c r="T655" s="159"/>
      <c r="U655" s="160"/>
      <c r="V655" s="165"/>
      <c r="W655" s="165"/>
      <c r="X655" s="160"/>
      <c r="Y655" s="166"/>
      <c r="Z655" s="160"/>
      <c r="AA655" s="160"/>
      <c r="AB655" s="165"/>
      <c r="AC655" s="165"/>
      <c r="AD655" s="165"/>
      <c r="AE655" s="165"/>
      <c r="AF655" s="160"/>
      <c r="AG655" s="160"/>
      <c r="AH655" s="160"/>
      <c r="AI655" s="160"/>
      <c r="AJ655" s="161"/>
      <c r="AK655" s="162"/>
      <c r="AL655" s="165"/>
      <c r="AM655" s="166"/>
      <c r="AN655" s="165"/>
      <c r="AO655" s="160"/>
      <c r="AP655" s="162"/>
      <c r="AQ655" s="161"/>
      <c r="AR655" s="162"/>
      <c r="AS655" s="161"/>
      <c r="AT655" s="165"/>
      <c r="AU655" s="166"/>
      <c r="AV655" s="165"/>
      <c r="AW655" s="166"/>
      <c r="AX655" s="165"/>
      <c r="AY655" s="165"/>
      <c r="AZ655" s="165"/>
      <c r="BA655" s="165"/>
      <c r="BB655" s="166"/>
      <c r="BC655" s="165"/>
      <c r="BD655" s="165"/>
      <c r="BE655" s="165"/>
      <c r="BF655" s="165"/>
      <c r="BG655" s="165"/>
      <c r="BH655" s="165"/>
      <c r="BI655" s="165"/>
      <c r="BJ655" s="166"/>
      <c r="BK655" s="165"/>
      <c r="BL655" s="165"/>
      <c r="BM655" s="163"/>
      <c r="BN655" s="165"/>
      <c r="BO655" s="165"/>
      <c r="BP655" s="165"/>
      <c r="BQ655" s="167"/>
    </row>
    <row r="656" spans="1:270" ht="39.950000000000003" customHeight="1" outlineLevel="1" x14ac:dyDescent="0.3">
      <c r="A656" s="15" t="s">
        <v>848</v>
      </c>
      <c r="B656" s="14" t="s">
        <v>72</v>
      </c>
      <c r="C656" s="9" t="s">
        <v>6</v>
      </c>
      <c r="D656" s="66" t="s">
        <v>855</v>
      </c>
      <c r="E656" s="158">
        <f t="shared" si="136"/>
        <v>707.17565999999999</v>
      </c>
      <c r="F656" s="159">
        <f t="shared" si="137"/>
        <v>199.49843999999999</v>
      </c>
      <c r="G656" s="160">
        <f t="shared" si="138"/>
        <v>507.67721999999998</v>
      </c>
      <c r="H656" s="166"/>
      <c r="I656" s="165"/>
      <c r="J656" s="160"/>
      <c r="K656" s="160"/>
      <c r="L656" s="166">
        <v>199.49843999999999</v>
      </c>
      <c r="M656" s="165">
        <v>312.67721999999998</v>
      </c>
      <c r="N656" s="165"/>
      <c r="O656" s="165"/>
      <c r="P656" s="160"/>
      <c r="Q656" s="166"/>
      <c r="R656" s="165"/>
      <c r="S656" s="165"/>
      <c r="T656" s="159"/>
      <c r="U656" s="160"/>
      <c r="V656" s="165"/>
      <c r="W656" s="165"/>
      <c r="X656" s="160"/>
      <c r="Y656" s="166"/>
      <c r="Z656" s="160"/>
      <c r="AA656" s="160"/>
      <c r="AB656" s="165"/>
      <c r="AC656" s="165"/>
      <c r="AD656" s="165"/>
      <c r="AE656" s="165"/>
      <c r="AF656" s="160"/>
      <c r="AG656" s="160"/>
      <c r="AH656" s="160"/>
      <c r="AI656" s="160"/>
      <c r="AJ656" s="161"/>
      <c r="AK656" s="162"/>
      <c r="AL656" s="165"/>
      <c r="AM656" s="166"/>
      <c r="AN656" s="165"/>
      <c r="AO656" s="160"/>
      <c r="AP656" s="162"/>
      <c r="AQ656" s="161"/>
      <c r="AR656" s="162"/>
      <c r="AS656" s="161"/>
      <c r="AT656" s="165"/>
      <c r="AU656" s="166"/>
      <c r="AV656" s="165"/>
      <c r="AW656" s="166"/>
      <c r="AX656" s="165"/>
      <c r="AY656" s="165"/>
      <c r="AZ656" s="165"/>
      <c r="BA656" s="165"/>
      <c r="BB656" s="166"/>
      <c r="BC656" s="165"/>
      <c r="BD656" s="165"/>
      <c r="BE656" s="165"/>
      <c r="BF656" s="165"/>
      <c r="BG656" s="165">
        <v>195</v>
      </c>
      <c r="BH656" s="165"/>
      <c r="BI656" s="165"/>
      <c r="BJ656" s="166"/>
      <c r="BK656" s="165"/>
      <c r="BL656" s="165"/>
      <c r="BM656" s="163"/>
      <c r="BN656" s="165"/>
      <c r="BO656" s="165"/>
      <c r="BP656" s="165"/>
      <c r="BQ656" s="167"/>
    </row>
    <row r="657" spans="1:270" s="54" customFormat="1" ht="39.950000000000003" customHeight="1" x14ac:dyDescent="0.3">
      <c r="A657" s="121" t="s">
        <v>856</v>
      </c>
      <c r="B657" s="122"/>
      <c r="C657" s="123" t="s">
        <v>80</v>
      </c>
      <c r="D657" s="117"/>
      <c r="E657" s="173">
        <f t="shared" ref="E657:AI657" si="139">SUBTOTAL(9,E650:E656)</f>
        <v>10373.36058</v>
      </c>
      <c r="F657" s="173">
        <f t="shared" si="139"/>
        <v>853.75020999999992</v>
      </c>
      <c r="G657" s="173">
        <f t="shared" si="139"/>
        <v>9519.6103699999985</v>
      </c>
      <c r="H657" s="173">
        <f t="shared" si="139"/>
        <v>170.37825000000001</v>
      </c>
      <c r="I657" s="173">
        <f t="shared" si="139"/>
        <v>56.792749999999998</v>
      </c>
      <c r="J657" s="173">
        <f t="shared" si="139"/>
        <v>0</v>
      </c>
      <c r="K657" s="173">
        <f t="shared" si="139"/>
        <v>0</v>
      </c>
      <c r="L657" s="173">
        <f t="shared" si="139"/>
        <v>613.34200999999996</v>
      </c>
      <c r="M657" s="173">
        <f t="shared" si="139"/>
        <v>961.30110999999988</v>
      </c>
      <c r="N657" s="173">
        <f t="shared" si="139"/>
        <v>0</v>
      </c>
      <c r="O657" s="173">
        <f>SUBTOTAL(9,O650:O656)</f>
        <v>0</v>
      </c>
      <c r="P657" s="173">
        <f>SUBTOTAL(9,P650:P656)</f>
        <v>0</v>
      </c>
      <c r="Q657" s="173">
        <f t="shared" si="139"/>
        <v>0</v>
      </c>
      <c r="R657" s="173">
        <f t="shared" si="139"/>
        <v>0</v>
      </c>
      <c r="S657" s="173">
        <f t="shared" si="139"/>
        <v>0</v>
      </c>
      <c r="T657" s="173">
        <f>SUBTOTAL(9,T650:T656)</f>
        <v>0</v>
      </c>
      <c r="U657" s="173">
        <f>SUBTOTAL(9,U650:U656)</f>
        <v>0</v>
      </c>
      <c r="V657" s="173">
        <f t="shared" si="139"/>
        <v>0</v>
      </c>
      <c r="W657" s="173">
        <f t="shared" si="139"/>
        <v>0</v>
      </c>
      <c r="X657" s="173">
        <f>SUBTOTAL(9,X650:X656)</f>
        <v>0</v>
      </c>
      <c r="Y657" s="173">
        <f t="shared" si="139"/>
        <v>0</v>
      </c>
      <c r="Z657" s="173">
        <f t="shared" si="139"/>
        <v>0</v>
      </c>
      <c r="AA657" s="173">
        <f t="shared" si="139"/>
        <v>47.977119999999999</v>
      </c>
      <c r="AB657" s="173">
        <f t="shared" si="139"/>
        <v>0</v>
      </c>
      <c r="AC657" s="173">
        <f t="shared" si="139"/>
        <v>0</v>
      </c>
      <c r="AD657" s="173">
        <f>SUBTOTAL(9,AD650:AD656)</f>
        <v>0</v>
      </c>
      <c r="AE657" s="173">
        <f t="shared" si="139"/>
        <v>0</v>
      </c>
      <c r="AF657" s="173">
        <f t="shared" si="139"/>
        <v>0</v>
      </c>
      <c r="AG657" s="173">
        <f t="shared" si="139"/>
        <v>0</v>
      </c>
      <c r="AH657" s="173">
        <f t="shared" si="139"/>
        <v>0</v>
      </c>
      <c r="AI657" s="173">
        <f t="shared" si="139"/>
        <v>0</v>
      </c>
      <c r="AJ657" s="173">
        <f t="shared" ref="AJ657:BQ657" si="140">SUBTOTAL(9,AJ650:AJ656)</f>
        <v>2977.2</v>
      </c>
      <c r="AK657" s="173">
        <f t="shared" si="140"/>
        <v>0</v>
      </c>
      <c r="AL657" s="173">
        <f t="shared" si="140"/>
        <v>0</v>
      </c>
      <c r="AM657" s="173">
        <f>SUBTOTAL(9,AM650:AM656)</f>
        <v>0</v>
      </c>
      <c r="AN657" s="173">
        <f>SUBTOTAL(9,AN650:AN656)</f>
        <v>0</v>
      </c>
      <c r="AO657" s="173">
        <f>SUBTOTAL(9,AO650:AO656)</f>
        <v>0</v>
      </c>
      <c r="AP657" s="173">
        <f t="shared" si="140"/>
        <v>0</v>
      </c>
      <c r="AQ657" s="173">
        <f t="shared" si="140"/>
        <v>0</v>
      </c>
      <c r="AR657" s="173">
        <f t="shared" si="140"/>
        <v>0</v>
      </c>
      <c r="AS657" s="173">
        <f t="shared" si="140"/>
        <v>0</v>
      </c>
      <c r="AT657" s="173">
        <f>SUBTOTAL(9,AT650:AT656)</f>
        <v>0</v>
      </c>
      <c r="AU657" s="173">
        <f t="shared" si="140"/>
        <v>0</v>
      </c>
      <c r="AV657" s="173">
        <f t="shared" si="140"/>
        <v>0</v>
      </c>
      <c r="AW657" s="173">
        <f t="shared" si="140"/>
        <v>70.029949999999999</v>
      </c>
      <c r="AX657" s="173">
        <f t="shared" si="140"/>
        <v>27.646880000000003</v>
      </c>
      <c r="AY657" s="173">
        <f t="shared" si="140"/>
        <v>0</v>
      </c>
      <c r="AZ657" s="173">
        <f t="shared" si="140"/>
        <v>0</v>
      </c>
      <c r="BA657" s="173">
        <f t="shared" si="140"/>
        <v>0</v>
      </c>
      <c r="BB657" s="173">
        <f t="shared" si="140"/>
        <v>0</v>
      </c>
      <c r="BC657" s="173">
        <f t="shared" si="140"/>
        <v>0</v>
      </c>
      <c r="BD657" s="173">
        <f t="shared" si="140"/>
        <v>0</v>
      </c>
      <c r="BE657" s="173">
        <f t="shared" si="140"/>
        <v>605.64583000000005</v>
      </c>
      <c r="BF657" s="173">
        <f t="shared" si="140"/>
        <v>0</v>
      </c>
      <c r="BG657" s="173">
        <f t="shared" si="140"/>
        <v>523.61765000000003</v>
      </c>
      <c r="BH657" s="173">
        <f t="shared" si="140"/>
        <v>3000</v>
      </c>
      <c r="BI657" s="173">
        <f t="shared" si="140"/>
        <v>0</v>
      </c>
      <c r="BJ657" s="173">
        <f t="shared" si="140"/>
        <v>0</v>
      </c>
      <c r="BK657" s="173">
        <f t="shared" si="140"/>
        <v>0</v>
      </c>
      <c r="BL657" s="173">
        <f t="shared" si="140"/>
        <v>0</v>
      </c>
      <c r="BM657" s="174">
        <f>SUBTOTAL(9,BM650:BM656)</f>
        <v>0</v>
      </c>
      <c r="BN657" s="173">
        <f t="shared" si="140"/>
        <v>0</v>
      </c>
      <c r="BO657" s="173">
        <f t="shared" si="140"/>
        <v>1319.42903</v>
      </c>
      <c r="BP657" s="173">
        <f t="shared" si="140"/>
        <v>0</v>
      </c>
      <c r="BQ657" s="174">
        <f t="shared" si="140"/>
        <v>0</v>
      </c>
      <c r="BR657" s="53"/>
      <c r="BS657" s="53"/>
      <c r="BT657" s="53"/>
      <c r="BU657" s="53"/>
      <c r="BV657" s="53"/>
      <c r="BW657" s="53"/>
      <c r="BX657" s="53"/>
      <c r="BY657" s="53"/>
      <c r="BZ657" s="53"/>
      <c r="CA657" s="53"/>
      <c r="CB657" s="53"/>
      <c r="CC657" s="53"/>
      <c r="CD657" s="53"/>
      <c r="CE657" s="53"/>
      <c r="CF657" s="53"/>
      <c r="CG657" s="53"/>
      <c r="CH657" s="53"/>
      <c r="CI657" s="53"/>
      <c r="CJ657" s="53"/>
      <c r="CK657" s="53"/>
      <c r="CL657" s="53"/>
      <c r="CM657" s="53"/>
      <c r="CN657" s="53"/>
      <c r="CO657" s="53"/>
      <c r="CP657" s="53"/>
      <c r="CQ657" s="53"/>
      <c r="CR657" s="53"/>
      <c r="CS657" s="53"/>
      <c r="CT657" s="53"/>
      <c r="CU657" s="53"/>
      <c r="CV657" s="53"/>
      <c r="CW657" s="53"/>
      <c r="CX657" s="53"/>
      <c r="CY657" s="53"/>
      <c r="CZ657" s="53"/>
      <c r="DA657" s="53"/>
      <c r="DB657" s="53"/>
      <c r="DC657" s="53"/>
      <c r="DD657" s="53"/>
      <c r="DE657" s="53"/>
      <c r="DF657" s="53"/>
      <c r="DG657" s="53"/>
      <c r="DH657" s="53"/>
      <c r="DI657" s="53"/>
      <c r="DJ657" s="53"/>
      <c r="DK657" s="53"/>
      <c r="DL657" s="53"/>
      <c r="DM657" s="53"/>
      <c r="DN657" s="53"/>
      <c r="DO657" s="53"/>
      <c r="DP657" s="53"/>
      <c r="DQ657" s="53"/>
      <c r="DR657" s="53"/>
      <c r="DS657" s="53"/>
      <c r="DT657" s="53"/>
      <c r="DU657" s="53"/>
      <c r="DV657" s="53"/>
      <c r="DW657" s="53"/>
      <c r="DX657" s="53"/>
      <c r="DY657" s="53"/>
      <c r="DZ657" s="53"/>
      <c r="EA657" s="53"/>
      <c r="EB657" s="53"/>
      <c r="EC657" s="53"/>
      <c r="ED657" s="53"/>
      <c r="EE657" s="53"/>
      <c r="EF657" s="53"/>
      <c r="EG657" s="53"/>
      <c r="EH657" s="53"/>
      <c r="EI657" s="53"/>
      <c r="EJ657" s="53"/>
      <c r="EK657" s="53"/>
      <c r="EL657" s="53"/>
      <c r="EM657" s="53"/>
      <c r="EN657" s="53"/>
      <c r="EO657" s="53"/>
      <c r="EP657" s="53"/>
      <c r="EQ657" s="53"/>
      <c r="ER657" s="53"/>
      <c r="ES657" s="53"/>
      <c r="ET657" s="53"/>
      <c r="EU657" s="53"/>
      <c r="EV657" s="53"/>
      <c r="EW657" s="53"/>
      <c r="EX657" s="53"/>
      <c r="EY657" s="53"/>
      <c r="EZ657" s="53"/>
      <c r="FA657" s="53"/>
      <c r="FB657" s="53"/>
      <c r="FC657" s="53"/>
      <c r="FD657" s="53"/>
      <c r="FE657" s="53"/>
      <c r="FF657" s="53"/>
      <c r="FG657" s="53"/>
      <c r="FH657" s="53"/>
      <c r="FI657" s="53"/>
      <c r="FJ657" s="53"/>
      <c r="FK657" s="53"/>
      <c r="FL657" s="53"/>
      <c r="FM657" s="53"/>
      <c r="FN657" s="53"/>
      <c r="FO657" s="53"/>
      <c r="FP657" s="53"/>
      <c r="FQ657" s="53"/>
      <c r="FR657" s="53"/>
      <c r="FS657" s="53"/>
      <c r="FT657" s="53"/>
      <c r="FU657" s="53"/>
      <c r="FV657" s="53"/>
      <c r="FW657" s="53"/>
      <c r="FX657" s="53"/>
      <c r="FY657" s="53"/>
      <c r="FZ657" s="53"/>
      <c r="GA657" s="53"/>
      <c r="GB657" s="53"/>
      <c r="GC657" s="53"/>
      <c r="GD657" s="53"/>
      <c r="GE657" s="53"/>
      <c r="GF657" s="53"/>
      <c r="GG657" s="53"/>
      <c r="GH657" s="53"/>
      <c r="GI657" s="53"/>
      <c r="GJ657" s="53"/>
      <c r="GK657" s="53"/>
      <c r="GL657" s="53"/>
      <c r="GM657" s="53"/>
      <c r="GN657" s="53"/>
      <c r="GO657" s="53"/>
      <c r="GP657" s="53"/>
      <c r="GQ657" s="53"/>
      <c r="GR657" s="53"/>
      <c r="GS657" s="53"/>
      <c r="GT657" s="53"/>
      <c r="GU657" s="53"/>
      <c r="GV657" s="53"/>
      <c r="GW657" s="53"/>
      <c r="GX657" s="53"/>
      <c r="GY657" s="53"/>
      <c r="GZ657" s="53"/>
      <c r="HA657" s="53"/>
      <c r="HB657" s="53"/>
      <c r="HC657" s="53"/>
      <c r="HD657" s="53"/>
      <c r="HE657" s="53"/>
      <c r="HF657" s="53"/>
      <c r="HG657" s="53"/>
      <c r="HH657" s="53"/>
      <c r="HI657" s="53"/>
      <c r="HJ657" s="53"/>
      <c r="HK657" s="53"/>
      <c r="HL657" s="53"/>
      <c r="HM657" s="53"/>
      <c r="HN657" s="53"/>
      <c r="HO657" s="53"/>
      <c r="HP657" s="53"/>
      <c r="HQ657" s="53"/>
      <c r="HR657" s="53"/>
      <c r="HS657" s="53"/>
      <c r="HT657" s="53"/>
      <c r="HU657" s="53"/>
      <c r="HV657" s="53"/>
      <c r="HW657" s="53"/>
      <c r="HX657" s="53"/>
      <c r="HY657" s="53"/>
      <c r="HZ657" s="53"/>
      <c r="IA657" s="53"/>
      <c r="IB657" s="53"/>
      <c r="IC657" s="53"/>
      <c r="ID657" s="53"/>
      <c r="IE657" s="53"/>
      <c r="IF657" s="53"/>
      <c r="IG657" s="53"/>
      <c r="IH657" s="53"/>
      <c r="II657" s="53"/>
      <c r="IJ657" s="53"/>
      <c r="IK657" s="53"/>
      <c r="IL657" s="53"/>
      <c r="IM657" s="53"/>
      <c r="IN657" s="53"/>
      <c r="IO657" s="53"/>
      <c r="IP657" s="53"/>
      <c r="IQ657" s="53"/>
      <c r="IR657" s="53"/>
      <c r="IS657" s="53"/>
      <c r="IT657" s="53"/>
      <c r="IU657" s="53"/>
      <c r="IV657" s="53"/>
      <c r="IW657" s="53"/>
      <c r="IX657" s="53"/>
      <c r="IY657" s="53"/>
      <c r="IZ657" s="53"/>
      <c r="JA657" s="53"/>
      <c r="JB657" s="53"/>
      <c r="JC657" s="53"/>
      <c r="JD657" s="53"/>
      <c r="JE657" s="53"/>
      <c r="JF657" s="53"/>
      <c r="JG657" s="53"/>
      <c r="JH657" s="53"/>
      <c r="JI657" s="53"/>
      <c r="JJ657" s="53"/>
    </row>
    <row r="658" spans="1:270" ht="39.950000000000003" customHeight="1" outlineLevel="1" x14ac:dyDescent="0.3">
      <c r="A658" s="17" t="s">
        <v>857</v>
      </c>
      <c r="B658" s="12" t="s">
        <v>881</v>
      </c>
      <c r="C658" s="9" t="s">
        <v>28</v>
      </c>
      <c r="D658" s="66" t="s">
        <v>882</v>
      </c>
      <c r="E658" s="158">
        <f t="shared" ref="E658:E682" si="141">F658+G658</f>
        <v>85.556919999999991</v>
      </c>
      <c r="F658" s="159">
        <f t="shared" ref="F658:F682" si="142">H658+L658+Q658+Y658+T658+AK658+AP658+AM658+AR658+AU658+AW658+BB658+BJ658</f>
        <v>33.325429999999997</v>
      </c>
      <c r="G658" s="160">
        <f t="shared" ref="G658:G682" si="143">I658+J658+K658+M658+N658+R658+S658+V658+W658+AD658+O658+X658+Z658+AA658+AB658+AC658+AE658+AF658+P658+U658+AG658+AH658+AI658+AO658+AJ658+AL658+AQ658+AN658+AS658+AV658+AX658+AY658+AZ658+BA658+BC658+BD658+BE658+BF658+BG658+BH658+BI658+AT658+BK658+BL658+BN658+BO658+BP658+BQ658+BM658</f>
        <v>52.231490000000001</v>
      </c>
      <c r="H658" s="166"/>
      <c r="I658" s="165"/>
      <c r="J658" s="160"/>
      <c r="K658" s="160"/>
      <c r="L658" s="166">
        <v>33.325429999999997</v>
      </c>
      <c r="M658" s="165">
        <v>52.231490000000001</v>
      </c>
      <c r="N658" s="165"/>
      <c r="O658" s="165"/>
      <c r="P658" s="160"/>
      <c r="Q658" s="166"/>
      <c r="R658" s="165"/>
      <c r="S658" s="165"/>
      <c r="T658" s="159"/>
      <c r="U658" s="160"/>
      <c r="V658" s="165"/>
      <c r="W658" s="165"/>
      <c r="X658" s="160"/>
      <c r="Y658" s="166"/>
      <c r="Z658" s="160"/>
      <c r="AA658" s="160"/>
      <c r="AB658" s="165"/>
      <c r="AC658" s="165"/>
      <c r="AD658" s="165"/>
      <c r="AE658" s="165"/>
      <c r="AF658" s="160"/>
      <c r="AG658" s="160"/>
      <c r="AH658" s="160"/>
      <c r="AI658" s="160"/>
      <c r="AJ658" s="161"/>
      <c r="AK658" s="162"/>
      <c r="AL658" s="161"/>
      <c r="AM658" s="162"/>
      <c r="AN658" s="161"/>
      <c r="AO658" s="160"/>
      <c r="AP658" s="162"/>
      <c r="AQ658" s="161"/>
      <c r="AR658" s="162"/>
      <c r="AS658" s="161"/>
      <c r="AT658" s="165"/>
      <c r="AU658" s="166"/>
      <c r="AV658" s="165"/>
      <c r="AW658" s="166"/>
      <c r="AX658" s="165"/>
      <c r="AY658" s="165"/>
      <c r="AZ658" s="165"/>
      <c r="BA658" s="165"/>
      <c r="BB658" s="166"/>
      <c r="BC658" s="165"/>
      <c r="BD658" s="165"/>
      <c r="BE658" s="165"/>
      <c r="BF658" s="165"/>
      <c r="BG658" s="165"/>
      <c r="BH658" s="165"/>
      <c r="BI658" s="165"/>
      <c r="BJ658" s="166"/>
      <c r="BK658" s="165"/>
      <c r="BL658" s="165"/>
      <c r="BM658" s="163"/>
      <c r="BN658" s="165"/>
      <c r="BO658" s="165"/>
      <c r="BP658" s="165"/>
      <c r="BQ658" s="167"/>
    </row>
    <row r="659" spans="1:270" ht="39.950000000000003" customHeight="1" outlineLevel="1" x14ac:dyDescent="0.3">
      <c r="A659" s="17" t="s">
        <v>857</v>
      </c>
      <c r="B659" s="12" t="s">
        <v>878</v>
      </c>
      <c r="C659" s="9" t="s">
        <v>30</v>
      </c>
      <c r="D659" s="68">
        <v>242400586850</v>
      </c>
      <c r="E659" s="158">
        <f t="shared" si="141"/>
        <v>191.74799000000002</v>
      </c>
      <c r="F659" s="159">
        <f t="shared" si="142"/>
        <v>3.1791900000000002</v>
      </c>
      <c r="G659" s="160">
        <f t="shared" si="143"/>
        <v>188.56880000000001</v>
      </c>
      <c r="H659" s="166"/>
      <c r="I659" s="165"/>
      <c r="J659" s="160"/>
      <c r="K659" s="160"/>
      <c r="L659" s="166">
        <v>3.1791900000000002</v>
      </c>
      <c r="M659" s="165">
        <v>4.9828000000000001</v>
      </c>
      <c r="N659" s="165"/>
      <c r="O659" s="165"/>
      <c r="P659" s="160"/>
      <c r="Q659" s="166"/>
      <c r="R659" s="165"/>
      <c r="S659" s="165"/>
      <c r="T659" s="159"/>
      <c r="U659" s="160"/>
      <c r="V659" s="165"/>
      <c r="W659" s="165"/>
      <c r="X659" s="160"/>
      <c r="Y659" s="166"/>
      <c r="Z659" s="165"/>
      <c r="AA659" s="160">
        <v>183.58600000000001</v>
      </c>
      <c r="AB659" s="165"/>
      <c r="AC659" s="165"/>
      <c r="AD659" s="165"/>
      <c r="AE659" s="165"/>
      <c r="AF659" s="160"/>
      <c r="AG659" s="160"/>
      <c r="AH659" s="160"/>
      <c r="AI659" s="160"/>
      <c r="AJ659" s="161"/>
      <c r="AK659" s="162"/>
      <c r="AL659" s="165"/>
      <c r="AM659" s="166"/>
      <c r="AN659" s="165"/>
      <c r="AO659" s="160"/>
      <c r="AP659" s="162"/>
      <c r="AQ659" s="161"/>
      <c r="AR659" s="162"/>
      <c r="AS659" s="161"/>
      <c r="AT659" s="165"/>
      <c r="AU659" s="166"/>
      <c r="AV659" s="165"/>
      <c r="AW659" s="166"/>
      <c r="AX659" s="165"/>
      <c r="AY659" s="165"/>
      <c r="AZ659" s="165"/>
      <c r="BA659" s="165"/>
      <c r="BB659" s="166"/>
      <c r="BC659" s="165"/>
      <c r="BD659" s="165"/>
      <c r="BE659" s="165"/>
      <c r="BF659" s="165"/>
      <c r="BG659" s="165"/>
      <c r="BH659" s="165"/>
      <c r="BI659" s="165"/>
      <c r="BJ659" s="166"/>
      <c r="BK659" s="165"/>
      <c r="BL659" s="165"/>
      <c r="BM659" s="163"/>
      <c r="BN659" s="165"/>
      <c r="BO659" s="165"/>
      <c r="BP659" s="165"/>
      <c r="BQ659" s="167"/>
    </row>
    <row r="660" spans="1:270" ht="39.950000000000003" customHeight="1" outlineLevel="1" x14ac:dyDescent="0.3">
      <c r="A660" s="17" t="s">
        <v>857</v>
      </c>
      <c r="B660" s="12" t="s">
        <v>879</v>
      </c>
      <c r="C660" s="9" t="s">
        <v>30</v>
      </c>
      <c r="D660" s="73">
        <v>245303246356</v>
      </c>
      <c r="E660" s="158">
        <f t="shared" si="141"/>
        <v>2510.8173300000003</v>
      </c>
      <c r="F660" s="159">
        <f t="shared" si="142"/>
        <v>88.63212</v>
      </c>
      <c r="G660" s="160">
        <f t="shared" si="143"/>
        <v>2422.1852100000001</v>
      </c>
      <c r="H660" s="166">
        <v>52.658230000000003</v>
      </c>
      <c r="I660" s="165">
        <v>17.55274</v>
      </c>
      <c r="J660" s="160">
        <v>117</v>
      </c>
      <c r="K660" s="160"/>
      <c r="L660" s="166">
        <v>35.973889999999997</v>
      </c>
      <c r="M660" s="165">
        <v>56.382469999999998</v>
      </c>
      <c r="N660" s="165"/>
      <c r="O660" s="165"/>
      <c r="P660" s="160"/>
      <c r="Q660" s="166"/>
      <c r="R660" s="165"/>
      <c r="S660" s="165"/>
      <c r="T660" s="159"/>
      <c r="U660" s="160"/>
      <c r="V660" s="165"/>
      <c r="W660" s="165"/>
      <c r="X660" s="160"/>
      <c r="Y660" s="166"/>
      <c r="Z660" s="160"/>
      <c r="AA660" s="160"/>
      <c r="AB660" s="165"/>
      <c r="AC660" s="165"/>
      <c r="AD660" s="165"/>
      <c r="AE660" s="165"/>
      <c r="AF660" s="160"/>
      <c r="AG660" s="160"/>
      <c r="AH660" s="160"/>
      <c r="AI660" s="160"/>
      <c r="AJ660" s="161"/>
      <c r="AK660" s="162"/>
      <c r="AL660" s="165"/>
      <c r="AM660" s="166"/>
      <c r="AN660" s="165"/>
      <c r="AO660" s="160"/>
      <c r="AP660" s="162"/>
      <c r="AQ660" s="161"/>
      <c r="AR660" s="162"/>
      <c r="AS660" s="161"/>
      <c r="AT660" s="165"/>
      <c r="AU660" s="166"/>
      <c r="AV660" s="165"/>
      <c r="AW660" s="166"/>
      <c r="AX660" s="165"/>
      <c r="AY660" s="165"/>
      <c r="AZ660" s="165"/>
      <c r="BA660" s="165"/>
      <c r="BB660" s="166"/>
      <c r="BC660" s="165"/>
      <c r="BD660" s="165"/>
      <c r="BE660" s="165"/>
      <c r="BF660" s="165"/>
      <c r="BG660" s="165"/>
      <c r="BH660" s="165">
        <v>2231.25</v>
      </c>
      <c r="BI660" s="165"/>
      <c r="BJ660" s="166"/>
      <c r="BK660" s="165"/>
      <c r="BL660" s="165"/>
      <c r="BM660" s="163"/>
      <c r="BN660" s="165"/>
      <c r="BO660" s="165"/>
      <c r="BP660" s="165"/>
      <c r="BQ660" s="167"/>
    </row>
    <row r="661" spans="1:270" ht="39.950000000000003" customHeight="1" outlineLevel="1" x14ac:dyDescent="0.3">
      <c r="A661" s="17" t="s">
        <v>857</v>
      </c>
      <c r="B661" s="12" t="s">
        <v>1564</v>
      </c>
      <c r="C661" s="9" t="s">
        <v>30</v>
      </c>
      <c r="D661" s="73">
        <v>245301482421</v>
      </c>
      <c r="E661" s="158">
        <f t="shared" si="141"/>
        <v>305.95832999999999</v>
      </c>
      <c r="F661" s="159">
        <f t="shared" si="142"/>
        <v>0</v>
      </c>
      <c r="G661" s="160">
        <f t="shared" si="143"/>
        <v>305.95832999999999</v>
      </c>
      <c r="H661" s="166"/>
      <c r="I661" s="165"/>
      <c r="J661" s="160"/>
      <c r="K661" s="160"/>
      <c r="L661" s="166"/>
      <c r="M661" s="165"/>
      <c r="N661" s="165"/>
      <c r="O661" s="165"/>
      <c r="P661" s="160"/>
      <c r="Q661" s="166"/>
      <c r="R661" s="165"/>
      <c r="S661" s="165"/>
      <c r="T661" s="159"/>
      <c r="U661" s="160"/>
      <c r="V661" s="165"/>
      <c r="W661" s="165"/>
      <c r="X661" s="160"/>
      <c r="Y661" s="166"/>
      <c r="Z661" s="160"/>
      <c r="AA661" s="160"/>
      <c r="AB661" s="165"/>
      <c r="AC661" s="165"/>
      <c r="AD661" s="165"/>
      <c r="AE661" s="165"/>
      <c r="AF661" s="160"/>
      <c r="AG661" s="160"/>
      <c r="AH661" s="160"/>
      <c r="AI661" s="160"/>
      <c r="AJ661" s="161"/>
      <c r="AK661" s="162"/>
      <c r="AL661" s="165"/>
      <c r="AM661" s="166"/>
      <c r="AN661" s="165"/>
      <c r="AO661" s="160"/>
      <c r="AP661" s="162"/>
      <c r="AQ661" s="161"/>
      <c r="AR661" s="162"/>
      <c r="AS661" s="161"/>
      <c r="AT661" s="165"/>
      <c r="AU661" s="166"/>
      <c r="AV661" s="165"/>
      <c r="AW661" s="166"/>
      <c r="AX661" s="165"/>
      <c r="AY661" s="165"/>
      <c r="AZ661" s="165"/>
      <c r="BA661" s="165"/>
      <c r="BB661" s="166"/>
      <c r="BC661" s="165"/>
      <c r="BD661" s="165"/>
      <c r="BE661" s="165"/>
      <c r="BF661" s="165">
        <v>305.95832999999999</v>
      </c>
      <c r="BG661" s="165"/>
      <c r="BH661" s="165"/>
      <c r="BI661" s="165"/>
      <c r="BJ661" s="166"/>
      <c r="BK661" s="165"/>
      <c r="BL661" s="165"/>
      <c r="BM661" s="163"/>
      <c r="BN661" s="165"/>
      <c r="BO661" s="165"/>
      <c r="BP661" s="165"/>
      <c r="BQ661" s="167"/>
    </row>
    <row r="662" spans="1:270" ht="39.950000000000003" customHeight="1" outlineLevel="1" x14ac:dyDescent="0.3">
      <c r="A662" s="17" t="s">
        <v>857</v>
      </c>
      <c r="B662" s="12" t="s">
        <v>869</v>
      </c>
      <c r="C662" s="9" t="s">
        <v>30</v>
      </c>
      <c r="D662" s="66" t="s">
        <v>870</v>
      </c>
      <c r="E662" s="158">
        <f t="shared" si="141"/>
        <v>673.92208000000005</v>
      </c>
      <c r="F662" s="159">
        <f t="shared" si="142"/>
        <v>328.88229000000001</v>
      </c>
      <c r="G662" s="160">
        <f t="shared" si="143"/>
        <v>345.03978999999998</v>
      </c>
      <c r="H662" s="166">
        <v>234.01349999999999</v>
      </c>
      <c r="I662" s="165">
        <v>78.004499999999993</v>
      </c>
      <c r="J662" s="160"/>
      <c r="K662" s="160"/>
      <c r="L662" s="166">
        <v>94.868790000000004</v>
      </c>
      <c r="M662" s="165">
        <v>148.68943999999999</v>
      </c>
      <c r="N662" s="165"/>
      <c r="O662" s="165"/>
      <c r="P662" s="160"/>
      <c r="Q662" s="166"/>
      <c r="R662" s="165"/>
      <c r="S662" s="165"/>
      <c r="T662" s="159"/>
      <c r="U662" s="160"/>
      <c r="V662" s="165"/>
      <c r="W662" s="165"/>
      <c r="X662" s="160"/>
      <c r="Y662" s="166"/>
      <c r="Z662" s="160"/>
      <c r="AA662" s="160"/>
      <c r="AB662" s="165"/>
      <c r="AC662" s="165"/>
      <c r="AD662" s="165"/>
      <c r="AE662" s="165"/>
      <c r="AF662" s="160"/>
      <c r="AG662" s="160"/>
      <c r="AH662" s="160"/>
      <c r="AI662" s="160"/>
      <c r="AJ662" s="161"/>
      <c r="AK662" s="162"/>
      <c r="AL662" s="165"/>
      <c r="AM662" s="166"/>
      <c r="AN662" s="165"/>
      <c r="AO662" s="160"/>
      <c r="AP662" s="162"/>
      <c r="AQ662" s="161"/>
      <c r="AR662" s="162"/>
      <c r="AS662" s="161"/>
      <c r="AT662" s="165"/>
      <c r="AU662" s="166"/>
      <c r="AV662" s="165"/>
      <c r="AW662" s="166"/>
      <c r="AX662" s="165"/>
      <c r="AY662" s="165"/>
      <c r="AZ662" s="165"/>
      <c r="BA662" s="165"/>
      <c r="BB662" s="166"/>
      <c r="BC662" s="165"/>
      <c r="BD662" s="165"/>
      <c r="BE662" s="165">
        <v>118.34585</v>
      </c>
      <c r="BF662" s="165"/>
      <c r="BG662" s="165"/>
      <c r="BH662" s="165"/>
      <c r="BI662" s="165"/>
      <c r="BJ662" s="166"/>
      <c r="BK662" s="165"/>
      <c r="BL662" s="165"/>
      <c r="BM662" s="163"/>
      <c r="BN662" s="165"/>
      <c r="BO662" s="165"/>
      <c r="BP662" s="165"/>
      <c r="BQ662" s="167"/>
    </row>
    <row r="663" spans="1:270" ht="39.950000000000003" customHeight="1" outlineLevel="1" x14ac:dyDescent="0.3">
      <c r="A663" s="17" t="s">
        <v>857</v>
      </c>
      <c r="B663" s="12" t="s">
        <v>1293</v>
      </c>
      <c r="C663" s="9" t="s">
        <v>30</v>
      </c>
      <c r="D663" s="66" t="s">
        <v>871</v>
      </c>
      <c r="E663" s="158">
        <f t="shared" si="141"/>
        <v>1298.79268</v>
      </c>
      <c r="F663" s="159">
        <f t="shared" si="142"/>
        <v>439.17565999999999</v>
      </c>
      <c r="G663" s="160">
        <f t="shared" si="143"/>
        <v>859.61702000000014</v>
      </c>
      <c r="H663" s="166">
        <v>311.58571999999998</v>
      </c>
      <c r="I663" s="165">
        <v>103.86190999999999</v>
      </c>
      <c r="J663" s="160"/>
      <c r="K663" s="160"/>
      <c r="L663" s="166">
        <v>59.147640000000003</v>
      </c>
      <c r="M663" s="165">
        <v>92.70308</v>
      </c>
      <c r="N663" s="165"/>
      <c r="O663" s="165"/>
      <c r="P663" s="160"/>
      <c r="Q663" s="166"/>
      <c r="R663" s="165"/>
      <c r="S663" s="165"/>
      <c r="T663" s="159"/>
      <c r="U663" s="160"/>
      <c r="V663" s="165"/>
      <c r="W663" s="165">
        <v>332.8</v>
      </c>
      <c r="X663" s="160"/>
      <c r="Y663" s="166">
        <v>68.442300000000003</v>
      </c>
      <c r="Z663" s="160">
        <v>22.8141</v>
      </c>
      <c r="AA663" s="160">
        <v>307.43792999999999</v>
      </c>
      <c r="AB663" s="165"/>
      <c r="AC663" s="165"/>
      <c r="AD663" s="165"/>
      <c r="AE663" s="165"/>
      <c r="AF663" s="160"/>
      <c r="AG663" s="160"/>
      <c r="AH663" s="160"/>
      <c r="AI663" s="160"/>
      <c r="AJ663" s="161"/>
      <c r="AK663" s="162"/>
      <c r="AL663" s="165"/>
      <c r="AM663" s="166"/>
      <c r="AN663" s="165"/>
      <c r="AO663" s="160"/>
      <c r="AP663" s="162"/>
      <c r="AQ663" s="161"/>
      <c r="AR663" s="162"/>
      <c r="AS663" s="161"/>
      <c r="AT663" s="165"/>
      <c r="AU663" s="166"/>
      <c r="AV663" s="165"/>
      <c r="AW663" s="166"/>
      <c r="AX663" s="165"/>
      <c r="AY663" s="165"/>
      <c r="AZ663" s="165"/>
      <c r="BA663" s="165"/>
      <c r="BB663" s="166"/>
      <c r="BC663" s="165"/>
      <c r="BD663" s="165"/>
      <c r="BE663" s="165"/>
      <c r="BF663" s="165"/>
      <c r="BG663" s="165"/>
      <c r="BH663" s="165"/>
      <c r="BI663" s="165"/>
      <c r="BJ663" s="166"/>
      <c r="BK663" s="165"/>
      <c r="BL663" s="165"/>
      <c r="BM663" s="163"/>
      <c r="BN663" s="165"/>
      <c r="BO663" s="165"/>
      <c r="BP663" s="165"/>
      <c r="BQ663" s="167"/>
    </row>
    <row r="664" spans="1:270" ht="39.950000000000003" customHeight="1" outlineLevel="1" x14ac:dyDescent="0.3">
      <c r="A664" s="17" t="s">
        <v>857</v>
      </c>
      <c r="B664" s="12" t="s">
        <v>1124</v>
      </c>
      <c r="C664" s="9" t="s">
        <v>30</v>
      </c>
      <c r="D664" s="9" t="s">
        <v>1240</v>
      </c>
      <c r="E664" s="158">
        <f t="shared" si="141"/>
        <v>327.78841</v>
      </c>
      <c r="F664" s="159">
        <f t="shared" si="142"/>
        <v>217.46316000000002</v>
      </c>
      <c r="G664" s="160">
        <f t="shared" si="143"/>
        <v>110.32525000000001</v>
      </c>
      <c r="H664" s="166">
        <v>186.80025000000001</v>
      </c>
      <c r="I664" s="165">
        <v>62.266750000000002</v>
      </c>
      <c r="J664" s="160"/>
      <c r="K664" s="160"/>
      <c r="L664" s="166">
        <v>30.66291</v>
      </c>
      <c r="M664" s="165">
        <v>48.058500000000002</v>
      </c>
      <c r="N664" s="165"/>
      <c r="O664" s="165"/>
      <c r="P664" s="160"/>
      <c r="Q664" s="166"/>
      <c r="R664" s="165"/>
      <c r="S664" s="165"/>
      <c r="T664" s="159"/>
      <c r="U664" s="160"/>
      <c r="V664" s="165"/>
      <c r="W664" s="165"/>
      <c r="X664" s="160"/>
      <c r="Y664" s="166"/>
      <c r="Z664" s="160"/>
      <c r="AA664" s="160"/>
      <c r="AB664" s="165"/>
      <c r="AC664" s="165"/>
      <c r="AD664" s="165"/>
      <c r="AE664" s="165"/>
      <c r="AF664" s="160"/>
      <c r="AG664" s="160"/>
      <c r="AH664" s="160"/>
      <c r="AI664" s="160"/>
      <c r="AJ664" s="161"/>
      <c r="AK664" s="162"/>
      <c r="AL664" s="161"/>
      <c r="AM664" s="162"/>
      <c r="AN664" s="161"/>
      <c r="AO664" s="160"/>
      <c r="AP664" s="162"/>
      <c r="AQ664" s="161"/>
      <c r="AR664" s="162"/>
      <c r="AS664" s="161"/>
      <c r="AT664" s="165"/>
      <c r="AU664" s="166"/>
      <c r="AV664" s="165"/>
      <c r="AW664" s="166"/>
      <c r="AX664" s="165"/>
      <c r="AY664" s="165"/>
      <c r="AZ664" s="165"/>
      <c r="BA664" s="165"/>
      <c r="BB664" s="166"/>
      <c r="BC664" s="165"/>
      <c r="BD664" s="165"/>
      <c r="BE664" s="165"/>
      <c r="BF664" s="165"/>
      <c r="BG664" s="165"/>
      <c r="BH664" s="165"/>
      <c r="BI664" s="165"/>
      <c r="BJ664" s="166"/>
      <c r="BK664" s="165"/>
      <c r="BL664" s="165"/>
      <c r="BM664" s="163"/>
      <c r="BN664" s="165"/>
      <c r="BO664" s="165"/>
      <c r="BP664" s="165"/>
      <c r="BQ664" s="167"/>
    </row>
    <row r="665" spans="1:270" ht="39.950000000000003" customHeight="1" outlineLevel="1" x14ac:dyDescent="0.3">
      <c r="A665" s="17" t="s">
        <v>1498</v>
      </c>
      <c r="B665" s="12" t="s">
        <v>872</v>
      </c>
      <c r="C665" s="9" t="s">
        <v>30</v>
      </c>
      <c r="D665" s="9" t="s">
        <v>1432</v>
      </c>
      <c r="E665" s="158">
        <f t="shared" si="141"/>
        <v>536.02751000000001</v>
      </c>
      <c r="F665" s="159">
        <f t="shared" si="142"/>
        <v>259.96217000000001</v>
      </c>
      <c r="G665" s="160">
        <f t="shared" si="143"/>
        <v>276.06533999999999</v>
      </c>
      <c r="H665" s="166">
        <v>139.58699999999999</v>
      </c>
      <c r="I665" s="165">
        <v>46.529000000000003</v>
      </c>
      <c r="J665" s="160"/>
      <c r="K665" s="160"/>
      <c r="L665" s="166">
        <v>120.37517</v>
      </c>
      <c r="M665" s="165">
        <v>188.66598999999999</v>
      </c>
      <c r="N665" s="165"/>
      <c r="O665" s="165"/>
      <c r="P665" s="160"/>
      <c r="Q665" s="166"/>
      <c r="R665" s="165"/>
      <c r="S665" s="165"/>
      <c r="T665" s="159"/>
      <c r="U665" s="160"/>
      <c r="V665" s="165"/>
      <c r="W665" s="165"/>
      <c r="X665" s="160"/>
      <c r="Y665" s="166"/>
      <c r="Z665" s="160"/>
      <c r="AA665" s="160"/>
      <c r="AB665" s="165"/>
      <c r="AC665" s="165"/>
      <c r="AD665" s="165"/>
      <c r="AE665" s="165"/>
      <c r="AF665" s="160"/>
      <c r="AG665" s="160"/>
      <c r="AH665" s="160"/>
      <c r="AI665" s="160"/>
      <c r="AJ665" s="161"/>
      <c r="AK665" s="162"/>
      <c r="AL665" s="161"/>
      <c r="AM665" s="162"/>
      <c r="AN665" s="161"/>
      <c r="AO665" s="160"/>
      <c r="AP665" s="162"/>
      <c r="AQ665" s="161"/>
      <c r="AR665" s="162"/>
      <c r="AS665" s="161"/>
      <c r="AT665" s="165"/>
      <c r="AU665" s="166"/>
      <c r="AV665" s="165"/>
      <c r="AW665" s="166"/>
      <c r="AX665" s="165"/>
      <c r="AY665" s="165"/>
      <c r="AZ665" s="165"/>
      <c r="BA665" s="165"/>
      <c r="BB665" s="166"/>
      <c r="BC665" s="165"/>
      <c r="BD665" s="165"/>
      <c r="BE665" s="165">
        <v>8.9953500000000002</v>
      </c>
      <c r="BF665" s="165"/>
      <c r="BG665" s="165">
        <v>31.875</v>
      </c>
      <c r="BH665" s="165"/>
      <c r="BI665" s="165"/>
      <c r="BJ665" s="166"/>
      <c r="BK665" s="165"/>
      <c r="BL665" s="165"/>
      <c r="BM665" s="163"/>
      <c r="BN665" s="165"/>
      <c r="BO665" s="165"/>
      <c r="BP665" s="165"/>
      <c r="BQ665" s="167"/>
    </row>
    <row r="666" spans="1:270" ht="39.950000000000003" customHeight="1" outlineLevel="1" x14ac:dyDescent="0.3">
      <c r="A666" s="17" t="s">
        <v>857</v>
      </c>
      <c r="B666" s="12" t="s">
        <v>1547</v>
      </c>
      <c r="C666" s="9" t="s">
        <v>30</v>
      </c>
      <c r="D666" s="9" t="s">
        <v>1574</v>
      </c>
      <c r="E666" s="158">
        <f t="shared" si="141"/>
        <v>2300</v>
      </c>
      <c r="F666" s="159">
        <f t="shared" si="142"/>
        <v>2185</v>
      </c>
      <c r="G666" s="160">
        <f t="shared" si="143"/>
        <v>115</v>
      </c>
      <c r="H666" s="166"/>
      <c r="I666" s="165"/>
      <c r="J666" s="160"/>
      <c r="K666" s="160"/>
      <c r="L666" s="166"/>
      <c r="M666" s="165"/>
      <c r="N666" s="165"/>
      <c r="O666" s="165"/>
      <c r="P666" s="160"/>
      <c r="Q666" s="166"/>
      <c r="R666" s="165"/>
      <c r="S666" s="165"/>
      <c r="T666" s="159"/>
      <c r="U666" s="160"/>
      <c r="V666" s="165"/>
      <c r="W666" s="165"/>
      <c r="X666" s="160"/>
      <c r="Y666" s="166"/>
      <c r="Z666" s="160"/>
      <c r="AA666" s="160"/>
      <c r="AB666" s="165"/>
      <c r="AC666" s="165"/>
      <c r="AD666" s="165"/>
      <c r="AE666" s="165"/>
      <c r="AF666" s="160"/>
      <c r="AG666" s="160"/>
      <c r="AH666" s="160"/>
      <c r="AI666" s="160"/>
      <c r="AJ666" s="161"/>
      <c r="AK666" s="162"/>
      <c r="AL666" s="161"/>
      <c r="AM666" s="162">
        <v>2185</v>
      </c>
      <c r="AN666" s="161">
        <v>115</v>
      </c>
      <c r="AO666" s="160"/>
      <c r="AP666" s="162"/>
      <c r="AQ666" s="161"/>
      <c r="AR666" s="162"/>
      <c r="AS666" s="161"/>
      <c r="AT666" s="165"/>
      <c r="AU666" s="166"/>
      <c r="AV666" s="165"/>
      <c r="AW666" s="166"/>
      <c r="AX666" s="165"/>
      <c r="AY666" s="165"/>
      <c r="AZ666" s="165"/>
      <c r="BA666" s="165"/>
      <c r="BB666" s="166"/>
      <c r="BC666" s="165"/>
      <c r="BD666" s="165"/>
      <c r="BE666" s="165"/>
      <c r="BF666" s="165"/>
      <c r="BG666" s="165"/>
      <c r="BH666" s="165"/>
      <c r="BI666" s="165"/>
      <c r="BJ666" s="166"/>
      <c r="BK666" s="165"/>
      <c r="BL666" s="165"/>
      <c r="BM666" s="163"/>
      <c r="BN666" s="165"/>
      <c r="BO666" s="165"/>
      <c r="BP666" s="165"/>
      <c r="BQ666" s="167"/>
    </row>
    <row r="667" spans="1:270" ht="39.950000000000003" customHeight="1" outlineLevel="1" x14ac:dyDescent="0.3">
      <c r="A667" s="17" t="s">
        <v>857</v>
      </c>
      <c r="B667" s="12" t="s">
        <v>873</v>
      </c>
      <c r="C667" s="9" t="s">
        <v>30</v>
      </c>
      <c r="D667" s="68">
        <v>244801596552</v>
      </c>
      <c r="E667" s="158">
        <f t="shared" si="141"/>
        <v>94.057159999999996</v>
      </c>
      <c r="F667" s="159">
        <f t="shared" si="142"/>
        <v>36.636369999999999</v>
      </c>
      <c r="G667" s="160">
        <f t="shared" si="143"/>
        <v>57.420789999999997</v>
      </c>
      <c r="H667" s="166"/>
      <c r="I667" s="165"/>
      <c r="J667" s="160"/>
      <c r="K667" s="160"/>
      <c r="L667" s="166">
        <v>36.636369999999999</v>
      </c>
      <c r="M667" s="165">
        <v>57.420789999999997</v>
      </c>
      <c r="N667" s="165"/>
      <c r="O667" s="165"/>
      <c r="P667" s="160"/>
      <c r="Q667" s="166"/>
      <c r="R667" s="165"/>
      <c r="S667" s="165"/>
      <c r="T667" s="159"/>
      <c r="U667" s="160"/>
      <c r="V667" s="165"/>
      <c r="W667" s="165"/>
      <c r="X667" s="160"/>
      <c r="Y667" s="166"/>
      <c r="Z667" s="160"/>
      <c r="AA667" s="160"/>
      <c r="AB667" s="165"/>
      <c r="AC667" s="165"/>
      <c r="AD667" s="165"/>
      <c r="AE667" s="165"/>
      <c r="AF667" s="160"/>
      <c r="AG667" s="160"/>
      <c r="AH667" s="160"/>
      <c r="AI667" s="160"/>
      <c r="AJ667" s="161"/>
      <c r="AK667" s="162"/>
      <c r="AL667" s="165"/>
      <c r="AM667" s="166"/>
      <c r="AN667" s="165"/>
      <c r="AO667" s="160"/>
      <c r="AP667" s="162"/>
      <c r="AQ667" s="161"/>
      <c r="AR667" s="162"/>
      <c r="AS667" s="161"/>
      <c r="AT667" s="165"/>
      <c r="AU667" s="166"/>
      <c r="AV667" s="165"/>
      <c r="AW667" s="166"/>
      <c r="AX667" s="165"/>
      <c r="AY667" s="165"/>
      <c r="AZ667" s="165"/>
      <c r="BA667" s="165"/>
      <c r="BB667" s="166"/>
      <c r="BC667" s="165"/>
      <c r="BD667" s="165"/>
      <c r="BE667" s="165"/>
      <c r="BF667" s="165"/>
      <c r="BG667" s="165"/>
      <c r="BH667" s="165"/>
      <c r="BI667" s="165"/>
      <c r="BJ667" s="166"/>
      <c r="BK667" s="165"/>
      <c r="BL667" s="165"/>
      <c r="BM667" s="163"/>
      <c r="BN667" s="165"/>
      <c r="BO667" s="165"/>
      <c r="BP667" s="165"/>
      <c r="BQ667" s="167"/>
    </row>
    <row r="668" spans="1:270" ht="39.950000000000003" customHeight="1" outlineLevel="1" x14ac:dyDescent="0.3">
      <c r="A668" s="17" t="s">
        <v>857</v>
      </c>
      <c r="B668" s="12" t="s">
        <v>1341</v>
      </c>
      <c r="C668" s="9" t="s">
        <v>30</v>
      </c>
      <c r="D668" s="66">
        <v>244800381603</v>
      </c>
      <c r="E668" s="158">
        <f t="shared" si="141"/>
        <v>58.114759999999997</v>
      </c>
      <c r="F668" s="159">
        <f t="shared" si="142"/>
        <v>27.84442</v>
      </c>
      <c r="G668" s="160">
        <f t="shared" si="143"/>
        <v>30.270339999999997</v>
      </c>
      <c r="H668" s="166">
        <v>10.83539</v>
      </c>
      <c r="I668" s="165">
        <v>3.6118000000000001</v>
      </c>
      <c r="J668" s="160"/>
      <c r="K668" s="160"/>
      <c r="L668" s="166">
        <v>17.009029999999999</v>
      </c>
      <c r="M668" s="165">
        <v>26.658539999999999</v>
      </c>
      <c r="N668" s="165"/>
      <c r="O668" s="165"/>
      <c r="P668" s="160"/>
      <c r="Q668" s="166"/>
      <c r="R668" s="165"/>
      <c r="S668" s="165"/>
      <c r="T668" s="159"/>
      <c r="U668" s="160"/>
      <c r="V668" s="165"/>
      <c r="W668" s="165"/>
      <c r="X668" s="160"/>
      <c r="Y668" s="166"/>
      <c r="Z668" s="160"/>
      <c r="AA668" s="160"/>
      <c r="AB668" s="165"/>
      <c r="AC668" s="165"/>
      <c r="AD668" s="165"/>
      <c r="AE668" s="165"/>
      <c r="AF668" s="160"/>
      <c r="AG668" s="160"/>
      <c r="AH668" s="160"/>
      <c r="AI668" s="160"/>
      <c r="AJ668" s="161"/>
      <c r="AK668" s="162"/>
      <c r="AL668" s="161"/>
      <c r="AM668" s="162"/>
      <c r="AN668" s="161"/>
      <c r="AO668" s="160"/>
      <c r="AP668" s="162"/>
      <c r="AQ668" s="161"/>
      <c r="AR668" s="162"/>
      <c r="AS668" s="161"/>
      <c r="AT668" s="165"/>
      <c r="AU668" s="166"/>
      <c r="AV668" s="165"/>
      <c r="AW668" s="166"/>
      <c r="AX668" s="165"/>
      <c r="AY668" s="165"/>
      <c r="AZ668" s="165"/>
      <c r="BA668" s="165"/>
      <c r="BB668" s="166"/>
      <c r="BC668" s="165"/>
      <c r="BD668" s="165"/>
      <c r="BE668" s="165"/>
      <c r="BF668" s="165"/>
      <c r="BG668" s="165"/>
      <c r="BH668" s="165"/>
      <c r="BI668" s="165"/>
      <c r="BJ668" s="166"/>
      <c r="BK668" s="165"/>
      <c r="BL668" s="165"/>
      <c r="BM668" s="163"/>
      <c r="BN668" s="165"/>
      <c r="BO668" s="165"/>
      <c r="BP668" s="165"/>
      <c r="BQ668" s="167"/>
    </row>
    <row r="669" spans="1:270" ht="39.950000000000003" customHeight="1" outlineLevel="1" x14ac:dyDescent="0.3">
      <c r="A669" s="17" t="s">
        <v>857</v>
      </c>
      <c r="B669" s="12" t="s">
        <v>1139</v>
      </c>
      <c r="C669" s="9" t="s">
        <v>30</v>
      </c>
      <c r="D669" s="73">
        <v>246101655326</v>
      </c>
      <c r="E669" s="158">
        <f t="shared" si="141"/>
        <v>365.35569999999996</v>
      </c>
      <c r="F669" s="159">
        <f t="shared" si="142"/>
        <v>142.31034</v>
      </c>
      <c r="G669" s="160">
        <f t="shared" si="143"/>
        <v>223.04535999999999</v>
      </c>
      <c r="H669" s="166"/>
      <c r="I669" s="165"/>
      <c r="J669" s="160"/>
      <c r="K669" s="160"/>
      <c r="L669" s="166">
        <v>142.31034</v>
      </c>
      <c r="M669" s="165">
        <v>223.04535999999999</v>
      </c>
      <c r="N669" s="165"/>
      <c r="O669" s="165"/>
      <c r="P669" s="160"/>
      <c r="Q669" s="166"/>
      <c r="R669" s="165"/>
      <c r="S669" s="165"/>
      <c r="T669" s="159"/>
      <c r="U669" s="160"/>
      <c r="V669" s="165"/>
      <c r="W669" s="165"/>
      <c r="X669" s="160"/>
      <c r="Y669" s="166"/>
      <c r="Z669" s="160"/>
      <c r="AA669" s="160"/>
      <c r="AB669" s="165"/>
      <c r="AC669" s="165"/>
      <c r="AD669" s="165"/>
      <c r="AE669" s="165"/>
      <c r="AF669" s="160"/>
      <c r="AG669" s="160"/>
      <c r="AH669" s="160"/>
      <c r="AI669" s="160"/>
      <c r="AJ669" s="161"/>
      <c r="AK669" s="162"/>
      <c r="AL669" s="165"/>
      <c r="AM669" s="166"/>
      <c r="AN669" s="165"/>
      <c r="AO669" s="160"/>
      <c r="AP669" s="162"/>
      <c r="AQ669" s="161"/>
      <c r="AR669" s="162"/>
      <c r="AS669" s="161"/>
      <c r="AT669" s="165"/>
      <c r="AU669" s="166"/>
      <c r="AV669" s="165"/>
      <c r="AW669" s="166"/>
      <c r="AX669" s="165"/>
      <c r="AY669" s="165"/>
      <c r="AZ669" s="165"/>
      <c r="BA669" s="165"/>
      <c r="BB669" s="166"/>
      <c r="BC669" s="165"/>
      <c r="BD669" s="165"/>
      <c r="BE669" s="165"/>
      <c r="BF669" s="165"/>
      <c r="BG669" s="165"/>
      <c r="BH669" s="165"/>
      <c r="BI669" s="165"/>
      <c r="BJ669" s="166"/>
      <c r="BK669" s="165"/>
      <c r="BL669" s="165"/>
      <c r="BM669" s="163"/>
      <c r="BN669" s="165"/>
      <c r="BO669" s="165"/>
      <c r="BP669" s="165"/>
      <c r="BQ669" s="167"/>
    </row>
    <row r="670" spans="1:270" ht="39.950000000000003" customHeight="1" outlineLevel="1" x14ac:dyDescent="0.3">
      <c r="A670" s="17" t="s">
        <v>857</v>
      </c>
      <c r="B670" s="12" t="s">
        <v>874</v>
      </c>
      <c r="C670" s="9" t="s">
        <v>30</v>
      </c>
      <c r="D670" s="68">
        <v>243200019982</v>
      </c>
      <c r="E670" s="158">
        <f t="shared" si="141"/>
        <v>138.80904000000001</v>
      </c>
      <c r="F670" s="159">
        <f t="shared" si="142"/>
        <v>54.067749999999997</v>
      </c>
      <c r="G670" s="160">
        <f t="shared" si="143"/>
        <v>84.741290000000006</v>
      </c>
      <c r="H670" s="166"/>
      <c r="I670" s="165"/>
      <c r="J670" s="160"/>
      <c r="K670" s="160"/>
      <c r="L670" s="166">
        <v>54.067749999999997</v>
      </c>
      <c r="M670" s="165">
        <v>84.741290000000006</v>
      </c>
      <c r="N670" s="165"/>
      <c r="O670" s="165"/>
      <c r="P670" s="160"/>
      <c r="Q670" s="166"/>
      <c r="R670" s="165"/>
      <c r="S670" s="165"/>
      <c r="T670" s="159"/>
      <c r="U670" s="160"/>
      <c r="V670" s="165"/>
      <c r="W670" s="165"/>
      <c r="X670" s="160"/>
      <c r="Y670" s="166"/>
      <c r="Z670" s="160"/>
      <c r="AA670" s="160"/>
      <c r="AB670" s="165"/>
      <c r="AC670" s="165"/>
      <c r="AD670" s="165"/>
      <c r="AE670" s="165"/>
      <c r="AF670" s="160"/>
      <c r="AG670" s="160"/>
      <c r="AH670" s="160"/>
      <c r="AI670" s="160"/>
      <c r="AJ670" s="161"/>
      <c r="AK670" s="162"/>
      <c r="AL670" s="165"/>
      <c r="AM670" s="166"/>
      <c r="AN670" s="165"/>
      <c r="AO670" s="160"/>
      <c r="AP670" s="162"/>
      <c r="AQ670" s="161"/>
      <c r="AR670" s="162"/>
      <c r="AS670" s="161"/>
      <c r="AT670" s="165"/>
      <c r="AU670" s="166"/>
      <c r="AV670" s="165"/>
      <c r="AW670" s="166"/>
      <c r="AX670" s="165"/>
      <c r="AY670" s="165"/>
      <c r="AZ670" s="165"/>
      <c r="BA670" s="165"/>
      <c r="BB670" s="166"/>
      <c r="BC670" s="165"/>
      <c r="BD670" s="165"/>
      <c r="BE670" s="165"/>
      <c r="BF670" s="165"/>
      <c r="BG670" s="165"/>
      <c r="BH670" s="165"/>
      <c r="BI670" s="165"/>
      <c r="BJ670" s="166"/>
      <c r="BK670" s="165"/>
      <c r="BL670" s="165"/>
      <c r="BM670" s="163"/>
      <c r="BN670" s="165"/>
      <c r="BO670" s="165"/>
      <c r="BP670" s="165"/>
      <c r="BQ670" s="167"/>
    </row>
    <row r="671" spans="1:270" ht="39.950000000000003" customHeight="1" outlineLevel="1" x14ac:dyDescent="0.3">
      <c r="A671" s="17" t="s">
        <v>857</v>
      </c>
      <c r="B671" s="12" t="s">
        <v>875</v>
      </c>
      <c r="C671" s="9" t="s">
        <v>30</v>
      </c>
      <c r="D671" s="68">
        <v>243200002890</v>
      </c>
      <c r="E671" s="158">
        <f t="shared" si="141"/>
        <v>87.672139999999999</v>
      </c>
      <c r="F671" s="159">
        <f t="shared" si="142"/>
        <v>34.149329999999999</v>
      </c>
      <c r="G671" s="160">
        <f t="shared" si="143"/>
        <v>53.52281</v>
      </c>
      <c r="H671" s="166"/>
      <c r="I671" s="165"/>
      <c r="J671" s="160"/>
      <c r="K671" s="160"/>
      <c r="L671" s="166">
        <v>34.149329999999999</v>
      </c>
      <c r="M671" s="165">
        <v>53.52281</v>
      </c>
      <c r="N671" s="165"/>
      <c r="O671" s="165"/>
      <c r="P671" s="160"/>
      <c r="Q671" s="166"/>
      <c r="R671" s="165"/>
      <c r="S671" s="165"/>
      <c r="T671" s="159"/>
      <c r="U671" s="160"/>
      <c r="V671" s="165"/>
      <c r="W671" s="165"/>
      <c r="X671" s="160"/>
      <c r="Y671" s="166"/>
      <c r="Z671" s="160"/>
      <c r="AA671" s="160"/>
      <c r="AB671" s="165"/>
      <c r="AC671" s="165"/>
      <c r="AD671" s="165"/>
      <c r="AE671" s="165"/>
      <c r="AF671" s="160"/>
      <c r="AG671" s="160"/>
      <c r="AH671" s="160"/>
      <c r="AI671" s="160"/>
      <c r="AJ671" s="161"/>
      <c r="AK671" s="162"/>
      <c r="AL671" s="165"/>
      <c r="AM671" s="166"/>
      <c r="AN671" s="165"/>
      <c r="AO671" s="160"/>
      <c r="AP671" s="162"/>
      <c r="AQ671" s="161"/>
      <c r="AR671" s="162"/>
      <c r="AS671" s="161"/>
      <c r="AT671" s="165"/>
      <c r="AU671" s="166"/>
      <c r="AV671" s="165"/>
      <c r="AW671" s="166"/>
      <c r="AX671" s="165"/>
      <c r="AY671" s="165"/>
      <c r="AZ671" s="165"/>
      <c r="BA671" s="165"/>
      <c r="BB671" s="166"/>
      <c r="BC671" s="165"/>
      <c r="BD671" s="165"/>
      <c r="BE671" s="165"/>
      <c r="BF671" s="165"/>
      <c r="BG671" s="165"/>
      <c r="BH671" s="165"/>
      <c r="BI671" s="165"/>
      <c r="BJ671" s="166"/>
      <c r="BK671" s="165"/>
      <c r="BL671" s="165"/>
      <c r="BM671" s="163"/>
      <c r="BN671" s="165"/>
      <c r="BO671" s="165"/>
      <c r="BP671" s="165"/>
      <c r="BQ671" s="167"/>
    </row>
    <row r="672" spans="1:270" ht="39.950000000000003" customHeight="1" outlineLevel="1" x14ac:dyDescent="0.3">
      <c r="A672" s="17" t="s">
        <v>857</v>
      </c>
      <c r="B672" s="12" t="s">
        <v>876</v>
      </c>
      <c r="C672" s="9" t="s">
        <v>30</v>
      </c>
      <c r="D672" s="66" t="s">
        <v>877</v>
      </c>
      <c r="E672" s="158">
        <f t="shared" si="141"/>
        <v>278.07633999999996</v>
      </c>
      <c r="F672" s="159">
        <f t="shared" si="142"/>
        <v>175.40662999999998</v>
      </c>
      <c r="G672" s="160">
        <f t="shared" si="143"/>
        <v>102.66971000000001</v>
      </c>
      <c r="H672" s="166">
        <v>139.58699999999999</v>
      </c>
      <c r="I672" s="165">
        <v>46.529000000000003</v>
      </c>
      <c r="J672" s="160"/>
      <c r="K672" s="160"/>
      <c r="L672" s="166">
        <v>35.819629999999997</v>
      </c>
      <c r="M672" s="165">
        <v>56.140709999999999</v>
      </c>
      <c r="N672" s="165"/>
      <c r="O672" s="165"/>
      <c r="P672" s="160"/>
      <c r="Q672" s="166"/>
      <c r="R672" s="165"/>
      <c r="S672" s="165"/>
      <c r="T672" s="159"/>
      <c r="U672" s="160"/>
      <c r="V672" s="165"/>
      <c r="W672" s="165"/>
      <c r="X672" s="160"/>
      <c r="Y672" s="166"/>
      <c r="Z672" s="160"/>
      <c r="AA672" s="160"/>
      <c r="AB672" s="165"/>
      <c r="AC672" s="165"/>
      <c r="AD672" s="165"/>
      <c r="AE672" s="165"/>
      <c r="AF672" s="160"/>
      <c r="AG672" s="160"/>
      <c r="AH672" s="160"/>
      <c r="AI672" s="160"/>
      <c r="AJ672" s="161"/>
      <c r="AK672" s="162"/>
      <c r="AL672" s="165"/>
      <c r="AM672" s="166"/>
      <c r="AN672" s="165"/>
      <c r="AO672" s="160"/>
      <c r="AP672" s="162"/>
      <c r="AQ672" s="161"/>
      <c r="AR672" s="162"/>
      <c r="AS672" s="161"/>
      <c r="AT672" s="165"/>
      <c r="AU672" s="166"/>
      <c r="AV672" s="165"/>
      <c r="AW672" s="166"/>
      <c r="AX672" s="165"/>
      <c r="AY672" s="165"/>
      <c r="AZ672" s="165"/>
      <c r="BA672" s="165"/>
      <c r="BB672" s="166"/>
      <c r="BC672" s="165"/>
      <c r="BD672" s="165"/>
      <c r="BE672" s="165"/>
      <c r="BF672" s="165"/>
      <c r="BG672" s="165"/>
      <c r="BH672" s="165"/>
      <c r="BI672" s="165"/>
      <c r="BJ672" s="166"/>
      <c r="BK672" s="165"/>
      <c r="BL672" s="165"/>
      <c r="BM672" s="163"/>
      <c r="BN672" s="165"/>
      <c r="BO672" s="165"/>
      <c r="BP672" s="165"/>
      <c r="BQ672" s="167"/>
    </row>
    <row r="673" spans="1:270" ht="39.950000000000003" customHeight="1" outlineLevel="1" x14ac:dyDescent="0.3">
      <c r="A673" s="17" t="s">
        <v>857</v>
      </c>
      <c r="B673" s="12" t="s">
        <v>1422</v>
      </c>
      <c r="C673" s="9" t="s">
        <v>30</v>
      </c>
      <c r="D673" s="73">
        <v>245302390276</v>
      </c>
      <c r="E673" s="158">
        <f t="shared" si="141"/>
        <v>298.33300000000003</v>
      </c>
      <c r="F673" s="159">
        <f t="shared" si="142"/>
        <v>223.74975000000001</v>
      </c>
      <c r="G673" s="160">
        <f t="shared" si="143"/>
        <v>74.583250000000007</v>
      </c>
      <c r="H673" s="166">
        <v>223.74975000000001</v>
      </c>
      <c r="I673" s="165">
        <v>74.583250000000007</v>
      </c>
      <c r="J673" s="160"/>
      <c r="K673" s="160"/>
      <c r="L673" s="166"/>
      <c r="M673" s="165"/>
      <c r="N673" s="165"/>
      <c r="O673" s="165"/>
      <c r="P673" s="160"/>
      <c r="Q673" s="166"/>
      <c r="R673" s="165"/>
      <c r="S673" s="165"/>
      <c r="T673" s="159"/>
      <c r="U673" s="160"/>
      <c r="V673" s="165"/>
      <c r="W673" s="165"/>
      <c r="X673" s="160"/>
      <c r="Y673" s="166"/>
      <c r="Z673" s="160"/>
      <c r="AA673" s="160"/>
      <c r="AB673" s="165"/>
      <c r="AC673" s="165"/>
      <c r="AD673" s="165"/>
      <c r="AE673" s="165"/>
      <c r="AF673" s="160"/>
      <c r="AG673" s="160"/>
      <c r="AH673" s="160"/>
      <c r="AI673" s="160"/>
      <c r="AJ673" s="161"/>
      <c r="AK673" s="162"/>
      <c r="AL673" s="161"/>
      <c r="AM673" s="162"/>
      <c r="AN673" s="161"/>
      <c r="AO673" s="160"/>
      <c r="AP673" s="162"/>
      <c r="AQ673" s="161"/>
      <c r="AR673" s="162"/>
      <c r="AS673" s="161"/>
      <c r="AT673" s="165"/>
      <c r="AU673" s="166"/>
      <c r="AV673" s="165"/>
      <c r="AW673" s="166"/>
      <c r="AX673" s="165"/>
      <c r="AY673" s="165"/>
      <c r="AZ673" s="165"/>
      <c r="BA673" s="165"/>
      <c r="BB673" s="166"/>
      <c r="BC673" s="165"/>
      <c r="BD673" s="165"/>
      <c r="BE673" s="165"/>
      <c r="BF673" s="165"/>
      <c r="BG673" s="165"/>
      <c r="BH673" s="165"/>
      <c r="BI673" s="165"/>
      <c r="BJ673" s="166"/>
      <c r="BK673" s="165"/>
      <c r="BL673" s="165"/>
      <c r="BM673" s="163"/>
      <c r="BN673" s="165"/>
      <c r="BO673" s="165"/>
      <c r="BP673" s="165"/>
      <c r="BQ673" s="167"/>
    </row>
    <row r="674" spans="1:270" ht="39.950000000000003" customHeight="1" outlineLevel="1" x14ac:dyDescent="0.3">
      <c r="A674" s="17" t="s">
        <v>857</v>
      </c>
      <c r="B674" s="12" t="s">
        <v>880</v>
      </c>
      <c r="C674" s="9" t="s">
        <v>30</v>
      </c>
      <c r="D674" s="73">
        <v>244802063050</v>
      </c>
      <c r="E674" s="158">
        <f t="shared" si="141"/>
        <v>333.08533999999997</v>
      </c>
      <c r="F674" s="159">
        <f t="shared" si="142"/>
        <v>124.63273</v>
      </c>
      <c r="G674" s="160">
        <f t="shared" si="143"/>
        <v>208.45260999999999</v>
      </c>
      <c r="H674" s="166">
        <v>61.768099999999997</v>
      </c>
      <c r="I674" s="165">
        <v>20.589369999999999</v>
      </c>
      <c r="J674" s="160"/>
      <c r="K674" s="160"/>
      <c r="L674" s="166">
        <v>62.864629999999998</v>
      </c>
      <c r="M674" s="165">
        <v>98.528779999999998</v>
      </c>
      <c r="N674" s="165"/>
      <c r="O674" s="165"/>
      <c r="P674" s="160"/>
      <c r="Q674" s="166"/>
      <c r="R674" s="165"/>
      <c r="S674" s="165"/>
      <c r="T674" s="159"/>
      <c r="U674" s="160"/>
      <c r="V674" s="165"/>
      <c r="W674" s="165"/>
      <c r="X674" s="160"/>
      <c r="Y674" s="166"/>
      <c r="Z674" s="160"/>
      <c r="AA674" s="160">
        <v>89.334460000000007</v>
      </c>
      <c r="AB674" s="165"/>
      <c r="AC674" s="165"/>
      <c r="AD674" s="165"/>
      <c r="AE674" s="165"/>
      <c r="AF674" s="160"/>
      <c r="AG674" s="160"/>
      <c r="AH674" s="160"/>
      <c r="AI674" s="160"/>
      <c r="AJ674" s="161"/>
      <c r="AK674" s="162"/>
      <c r="AL674" s="161"/>
      <c r="AM674" s="162"/>
      <c r="AN674" s="161"/>
      <c r="AO674" s="160"/>
      <c r="AP674" s="162"/>
      <c r="AQ674" s="161"/>
      <c r="AR674" s="162"/>
      <c r="AS674" s="161"/>
      <c r="AT674" s="165"/>
      <c r="AU674" s="166"/>
      <c r="AV674" s="165"/>
      <c r="AW674" s="166"/>
      <c r="AX674" s="165"/>
      <c r="AY674" s="165"/>
      <c r="AZ674" s="165"/>
      <c r="BA674" s="165"/>
      <c r="BB674" s="166"/>
      <c r="BC674" s="165"/>
      <c r="BD674" s="165"/>
      <c r="BE674" s="165"/>
      <c r="BF674" s="165"/>
      <c r="BG674" s="165"/>
      <c r="BH674" s="165"/>
      <c r="BI674" s="165"/>
      <c r="BJ674" s="166"/>
      <c r="BK674" s="165"/>
      <c r="BL674" s="165"/>
      <c r="BM674" s="163"/>
      <c r="BN674" s="165"/>
      <c r="BO674" s="165"/>
      <c r="BP674" s="165"/>
      <c r="BQ674" s="167"/>
    </row>
    <row r="675" spans="1:270" ht="39.950000000000003" customHeight="1" outlineLevel="1" x14ac:dyDescent="0.3">
      <c r="A675" s="15" t="s">
        <v>857</v>
      </c>
      <c r="B675" s="14" t="s">
        <v>636</v>
      </c>
      <c r="C675" s="9" t="s">
        <v>6</v>
      </c>
      <c r="D675" s="66" t="s">
        <v>862</v>
      </c>
      <c r="E675" s="158">
        <f t="shared" si="141"/>
        <v>39523.814939999997</v>
      </c>
      <c r="F675" s="159">
        <f t="shared" si="142"/>
        <v>6251.642319999999</v>
      </c>
      <c r="G675" s="160">
        <f t="shared" si="143"/>
        <v>33272.172619999998</v>
      </c>
      <c r="H675" s="166">
        <v>594.96771000000001</v>
      </c>
      <c r="I675" s="165">
        <v>198.32257000000001</v>
      </c>
      <c r="J675" s="160">
        <v>960</v>
      </c>
      <c r="K675" s="160"/>
      <c r="L675" s="166">
        <f>2308.22295+216.0797</f>
        <v>2524.3026499999996</v>
      </c>
      <c r="M675" s="165">
        <f>3617.71611+338.6653</f>
        <v>3956.38141</v>
      </c>
      <c r="N675" s="165"/>
      <c r="O675" s="165"/>
      <c r="P675" s="160"/>
      <c r="Q675" s="166"/>
      <c r="R675" s="165"/>
      <c r="S675" s="165"/>
      <c r="T675" s="159"/>
      <c r="U675" s="160"/>
      <c r="V675" s="165"/>
      <c r="W675" s="165"/>
      <c r="X675" s="160"/>
      <c r="Y675" s="166">
        <v>3132.3719599999999</v>
      </c>
      <c r="Z675" s="160">
        <v>1044.1239800000001</v>
      </c>
      <c r="AA675" s="160">
        <v>15198.02745</v>
      </c>
      <c r="AB675" s="165"/>
      <c r="AC675" s="165"/>
      <c r="AD675" s="165">
        <v>1545.34665</v>
      </c>
      <c r="AE675" s="165"/>
      <c r="AF675" s="160"/>
      <c r="AG675" s="160"/>
      <c r="AH675" s="160"/>
      <c r="AI675" s="160"/>
      <c r="AJ675" s="161"/>
      <c r="AK675" s="162"/>
      <c r="AL675" s="165"/>
      <c r="AM675" s="166"/>
      <c r="AN675" s="165"/>
      <c r="AO675" s="160"/>
      <c r="AP675" s="162"/>
      <c r="AQ675" s="161"/>
      <c r="AR675" s="162"/>
      <c r="AS675" s="161"/>
      <c r="AT675" s="165"/>
      <c r="AU675" s="166"/>
      <c r="AV675" s="165"/>
      <c r="AW675" s="166"/>
      <c r="AX675" s="165"/>
      <c r="AY675" s="165"/>
      <c r="AZ675" s="165"/>
      <c r="BA675" s="165"/>
      <c r="BB675" s="166"/>
      <c r="BC675" s="165"/>
      <c r="BD675" s="165"/>
      <c r="BE675" s="165">
        <v>9328.9212000000007</v>
      </c>
      <c r="BF675" s="165"/>
      <c r="BG675" s="165"/>
      <c r="BH675" s="187"/>
      <c r="BI675" s="187"/>
      <c r="BJ675" s="166"/>
      <c r="BK675" s="165"/>
      <c r="BL675" s="165"/>
      <c r="BM675" s="163"/>
      <c r="BN675" s="165"/>
      <c r="BO675" s="165">
        <v>1041.04936</v>
      </c>
      <c r="BP675" s="165"/>
      <c r="BQ675" s="167"/>
    </row>
    <row r="676" spans="1:270" ht="39.950000000000003" customHeight="1" outlineLevel="1" x14ac:dyDescent="0.3">
      <c r="A676" s="17" t="s">
        <v>857</v>
      </c>
      <c r="B676" s="12" t="s">
        <v>863</v>
      </c>
      <c r="C676" s="9" t="s">
        <v>6</v>
      </c>
      <c r="D676" s="66" t="s">
        <v>864</v>
      </c>
      <c r="E676" s="158">
        <f t="shared" si="141"/>
        <v>38716.183400000002</v>
      </c>
      <c r="F676" s="159">
        <f t="shared" si="142"/>
        <v>6155.8222100000003</v>
      </c>
      <c r="G676" s="160">
        <f t="shared" si="143"/>
        <v>32560.36119</v>
      </c>
      <c r="H676" s="166">
        <v>2491.1999999999998</v>
      </c>
      <c r="I676" s="165">
        <v>830.4</v>
      </c>
      <c r="J676" s="160"/>
      <c r="K676" s="160"/>
      <c r="L676" s="166">
        <f>185.89705+3188.4612+164.82615+125.43781</f>
        <v>3664.62221</v>
      </c>
      <c r="M676" s="165">
        <f>291.35952+4997.32812+258.33477+196.60076</f>
        <v>5743.6231700000008</v>
      </c>
      <c r="N676" s="165"/>
      <c r="O676" s="165"/>
      <c r="P676" s="160"/>
      <c r="Q676" s="166"/>
      <c r="R676" s="165"/>
      <c r="S676" s="165"/>
      <c r="T676" s="159"/>
      <c r="U676" s="160"/>
      <c r="V676" s="165"/>
      <c r="W676" s="165"/>
      <c r="X676" s="160"/>
      <c r="Y676" s="166"/>
      <c r="Z676" s="160"/>
      <c r="AA676" s="160"/>
      <c r="AB676" s="165"/>
      <c r="AC676" s="165"/>
      <c r="AD676" s="165"/>
      <c r="AE676" s="165"/>
      <c r="AF676" s="160"/>
      <c r="AG676" s="160"/>
      <c r="AH676" s="160"/>
      <c r="AI676" s="160"/>
      <c r="AJ676" s="161"/>
      <c r="AK676" s="162"/>
      <c r="AL676" s="165"/>
      <c r="AM676" s="166"/>
      <c r="AN676" s="165"/>
      <c r="AO676" s="160"/>
      <c r="AP676" s="162"/>
      <c r="AQ676" s="161"/>
      <c r="AR676" s="162"/>
      <c r="AS676" s="161"/>
      <c r="AT676" s="165"/>
      <c r="AU676" s="166"/>
      <c r="AV676" s="165"/>
      <c r="AW676" s="166"/>
      <c r="AX676" s="165"/>
      <c r="AY676" s="165"/>
      <c r="AZ676" s="165"/>
      <c r="BA676" s="165"/>
      <c r="BB676" s="166"/>
      <c r="BC676" s="165"/>
      <c r="BD676" s="165"/>
      <c r="BE676" s="165">
        <v>5421.3694100000002</v>
      </c>
      <c r="BF676" s="165">
        <v>20564.96861</v>
      </c>
      <c r="BG676" s="165"/>
      <c r="BH676" s="165"/>
      <c r="BI676" s="165"/>
      <c r="BJ676" s="166"/>
      <c r="BK676" s="165"/>
      <c r="BL676" s="165"/>
      <c r="BM676" s="163"/>
      <c r="BN676" s="165"/>
      <c r="BO676" s="165"/>
      <c r="BP676" s="165"/>
      <c r="BQ676" s="167"/>
    </row>
    <row r="677" spans="1:270" ht="39.950000000000003" customHeight="1" outlineLevel="1" x14ac:dyDescent="0.3">
      <c r="A677" s="17" t="s">
        <v>857</v>
      </c>
      <c r="B677" s="12" t="s">
        <v>865</v>
      </c>
      <c r="C677" s="9" t="s">
        <v>6</v>
      </c>
      <c r="D677" s="9" t="s">
        <v>1238</v>
      </c>
      <c r="E677" s="158">
        <f t="shared" si="141"/>
        <v>5402.3472299999994</v>
      </c>
      <c r="F677" s="159">
        <f t="shared" si="142"/>
        <v>0</v>
      </c>
      <c r="G677" s="160">
        <f t="shared" si="143"/>
        <v>5402.3472299999994</v>
      </c>
      <c r="H677" s="166"/>
      <c r="I677" s="165"/>
      <c r="J677" s="160"/>
      <c r="K677" s="160"/>
      <c r="L677" s="166"/>
      <c r="M677" s="165"/>
      <c r="N677" s="165"/>
      <c r="O677" s="165"/>
      <c r="P677" s="160"/>
      <c r="Q677" s="166"/>
      <c r="R677" s="165"/>
      <c r="S677" s="165"/>
      <c r="T677" s="159"/>
      <c r="U677" s="160"/>
      <c r="V677" s="165"/>
      <c r="W677" s="165"/>
      <c r="X677" s="160"/>
      <c r="Y677" s="166"/>
      <c r="Z677" s="160"/>
      <c r="AA677" s="160"/>
      <c r="AB677" s="165"/>
      <c r="AC677" s="165">
        <v>4722.3095999999996</v>
      </c>
      <c r="AD677" s="165"/>
      <c r="AE677" s="165"/>
      <c r="AF677" s="160"/>
      <c r="AG677" s="160"/>
      <c r="AH677" s="160"/>
      <c r="AI677" s="160"/>
      <c r="AJ677" s="161"/>
      <c r="AK677" s="162"/>
      <c r="AL677" s="165"/>
      <c r="AM677" s="166"/>
      <c r="AN677" s="165"/>
      <c r="AO677" s="160"/>
      <c r="AP677" s="162"/>
      <c r="AQ677" s="161"/>
      <c r="AR677" s="162"/>
      <c r="AS677" s="161"/>
      <c r="AT677" s="165"/>
      <c r="AU677" s="166"/>
      <c r="AV677" s="165"/>
      <c r="AW677" s="166"/>
      <c r="AX677" s="165"/>
      <c r="AY677" s="165"/>
      <c r="AZ677" s="165"/>
      <c r="BA677" s="165"/>
      <c r="BB677" s="166"/>
      <c r="BC677" s="165"/>
      <c r="BD677" s="165"/>
      <c r="BE677" s="165"/>
      <c r="BF677" s="165"/>
      <c r="BG677" s="165"/>
      <c r="BH677" s="165"/>
      <c r="BI677" s="165"/>
      <c r="BJ677" s="166"/>
      <c r="BK677" s="165"/>
      <c r="BL677" s="165"/>
      <c r="BM677" s="163"/>
      <c r="BN677" s="165"/>
      <c r="BO677" s="165">
        <v>680.03763000000004</v>
      </c>
      <c r="BP677" s="165"/>
      <c r="BQ677" s="167"/>
    </row>
    <row r="678" spans="1:270" ht="39.950000000000003" customHeight="1" outlineLevel="1" x14ac:dyDescent="0.3">
      <c r="A678" s="15" t="s">
        <v>857</v>
      </c>
      <c r="B678" s="14" t="s">
        <v>21</v>
      </c>
      <c r="C678" s="9" t="s">
        <v>6</v>
      </c>
      <c r="D678" s="66" t="s">
        <v>866</v>
      </c>
      <c r="E678" s="158">
        <f t="shared" si="141"/>
        <v>8987.5617700000003</v>
      </c>
      <c r="F678" s="159">
        <f t="shared" si="142"/>
        <v>2110.2993999999999</v>
      </c>
      <c r="G678" s="160">
        <f t="shared" si="143"/>
        <v>6877.2623700000004</v>
      </c>
      <c r="H678" s="166">
        <v>1240.88734</v>
      </c>
      <c r="I678" s="165">
        <v>413.62911000000003</v>
      </c>
      <c r="J678" s="160"/>
      <c r="K678" s="160"/>
      <c r="L678" s="166">
        <v>255.42057</v>
      </c>
      <c r="M678" s="165">
        <v>400.32490000000001</v>
      </c>
      <c r="N678" s="165"/>
      <c r="O678" s="165"/>
      <c r="P678" s="160"/>
      <c r="Q678" s="166"/>
      <c r="R678" s="165"/>
      <c r="S678" s="165"/>
      <c r="T678" s="159"/>
      <c r="U678" s="160"/>
      <c r="V678" s="165"/>
      <c r="W678" s="165"/>
      <c r="X678" s="160"/>
      <c r="Y678" s="166">
        <v>613.99149</v>
      </c>
      <c r="Z678" s="160">
        <v>204.66382999999999</v>
      </c>
      <c r="AA678" s="160">
        <v>2982.4110300000002</v>
      </c>
      <c r="AB678" s="165"/>
      <c r="AC678" s="165"/>
      <c r="AD678" s="165"/>
      <c r="AE678" s="165"/>
      <c r="AF678" s="160"/>
      <c r="AG678" s="160"/>
      <c r="AH678" s="160"/>
      <c r="AI678" s="160"/>
      <c r="AJ678" s="161"/>
      <c r="AK678" s="162"/>
      <c r="AL678" s="165"/>
      <c r="AM678" s="166"/>
      <c r="AN678" s="165"/>
      <c r="AO678" s="160"/>
      <c r="AP678" s="162"/>
      <c r="AQ678" s="161"/>
      <c r="AR678" s="162"/>
      <c r="AS678" s="161"/>
      <c r="AT678" s="165"/>
      <c r="AU678" s="166"/>
      <c r="AV678" s="165"/>
      <c r="AW678" s="166"/>
      <c r="AX678" s="165"/>
      <c r="AY678" s="165"/>
      <c r="AZ678" s="165"/>
      <c r="BA678" s="165"/>
      <c r="BB678" s="166"/>
      <c r="BC678" s="165"/>
      <c r="BD678" s="165"/>
      <c r="BE678" s="165"/>
      <c r="BF678" s="165">
        <v>2876.2334999999998</v>
      </c>
      <c r="BG678" s="165"/>
      <c r="BH678" s="165"/>
      <c r="BI678" s="165"/>
      <c r="BJ678" s="166"/>
      <c r="BK678" s="165"/>
      <c r="BL678" s="165"/>
      <c r="BM678" s="163"/>
      <c r="BN678" s="165"/>
      <c r="BO678" s="165"/>
      <c r="BP678" s="165"/>
      <c r="BQ678" s="167"/>
    </row>
    <row r="679" spans="1:270" ht="39.950000000000003" customHeight="1" outlineLevel="1" x14ac:dyDescent="0.3">
      <c r="A679" s="15" t="s">
        <v>857</v>
      </c>
      <c r="B679" s="14" t="s">
        <v>1126</v>
      </c>
      <c r="C679" s="9" t="s">
        <v>6</v>
      </c>
      <c r="D679" s="9" t="s">
        <v>1239</v>
      </c>
      <c r="E679" s="158">
        <f t="shared" si="141"/>
        <v>4293.0347600000005</v>
      </c>
      <c r="F679" s="159">
        <f t="shared" si="142"/>
        <v>322.90199999999999</v>
      </c>
      <c r="G679" s="160">
        <f t="shared" si="143"/>
        <v>3970.1327600000004</v>
      </c>
      <c r="H679" s="166"/>
      <c r="I679" s="165"/>
      <c r="J679" s="160"/>
      <c r="K679" s="160"/>
      <c r="L679" s="166"/>
      <c r="M679" s="165"/>
      <c r="N679" s="165"/>
      <c r="O679" s="165"/>
      <c r="P679" s="160"/>
      <c r="Q679" s="166"/>
      <c r="R679" s="165"/>
      <c r="S679" s="165">
        <v>3154.8958400000001</v>
      </c>
      <c r="T679" s="159"/>
      <c r="U679" s="160"/>
      <c r="V679" s="165"/>
      <c r="W679" s="165"/>
      <c r="X679" s="160"/>
      <c r="Y679" s="166">
        <v>322.90199999999999</v>
      </c>
      <c r="Z679" s="160">
        <v>107.634</v>
      </c>
      <c r="AA679" s="160"/>
      <c r="AB679" s="165"/>
      <c r="AC679" s="165"/>
      <c r="AD679" s="165"/>
      <c r="AE679" s="165"/>
      <c r="AF679" s="160"/>
      <c r="AG679" s="160"/>
      <c r="AH679" s="160"/>
      <c r="AI679" s="160"/>
      <c r="AJ679" s="161"/>
      <c r="AK679" s="162"/>
      <c r="AL679" s="165"/>
      <c r="AM679" s="166"/>
      <c r="AN679" s="165"/>
      <c r="AO679" s="160"/>
      <c r="AP679" s="162"/>
      <c r="AQ679" s="161"/>
      <c r="AR679" s="162"/>
      <c r="AS679" s="161"/>
      <c r="AT679" s="165"/>
      <c r="AU679" s="166"/>
      <c r="AV679" s="165"/>
      <c r="AW679" s="166"/>
      <c r="AX679" s="165"/>
      <c r="AY679" s="165"/>
      <c r="AZ679" s="165"/>
      <c r="BA679" s="165"/>
      <c r="BB679" s="166"/>
      <c r="BC679" s="165"/>
      <c r="BD679" s="165"/>
      <c r="BE679" s="165"/>
      <c r="BF679" s="165">
        <v>369.19499999999999</v>
      </c>
      <c r="BG679" s="165"/>
      <c r="BH679" s="165"/>
      <c r="BI679" s="165"/>
      <c r="BJ679" s="166"/>
      <c r="BK679" s="165"/>
      <c r="BL679" s="165"/>
      <c r="BM679" s="163"/>
      <c r="BN679" s="165"/>
      <c r="BO679" s="165">
        <v>338.40791999999999</v>
      </c>
      <c r="BP679" s="165"/>
      <c r="BQ679" s="167"/>
    </row>
    <row r="680" spans="1:270" ht="39.950000000000003" customHeight="1" outlineLevel="1" x14ac:dyDescent="0.3">
      <c r="A680" s="15" t="s">
        <v>857</v>
      </c>
      <c r="B680" s="14" t="s">
        <v>867</v>
      </c>
      <c r="C680" s="9" t="s">
        <v>6</v>
      </c>
      <c r="D680" s="66" t="s">
        <v>868</v>
      </c>
      <c r="E680" s="158">
        <f t="shared" si="141"/>
        <v>52651.109669999991</v>
      </c>
      <c r="F680" s="159">
        <f t="shared" si="142"/>
        <v>3938.7876200000001</v>
      </c>
      <c r="G680" s="160">
        <f t="shared" si="143"/>
        <v>48712.322049999988</v>
      </c>
      <c r="H680" s="166"/>
      <c r="I680" s="165"/>
      <c r="J680" s="160">
        <v>312</v>
      </c>
      <c r="K680" s="160">
        <v>31724</v>
      </c>
      <c r="L680" s="166"/>
      <c r="M680" s="165"/>
      <c r="N680" s="165"/>
      <c r="O680" s="165"/>
      <c r="P680" s="160"/>
      <c r="Q680" s="166"/>
      <c r="R680" s="165"/>
      <c r="S680" s="165"/>
      <c r="T680" s="159"/>
      <c r="U680" s="160"/>
      <c r="V680" s="165"/>
      <c r="W680" s="165"/>
      <c r="X680" s="160"/>
      <c r="Y680" s="166">
        <v>3791.1945900000001</v>
      </c>
      <c r="Z680" s="160">
        <v>1263.73153</v>
      </c>
      <c r="AA680" s="160"/>
      <c r="AB680" s="165"/>
      <c r="AC680" s="165"/>
      <c r="AD680" s="165"/>
      <c r="AE680" s="165"/>
      <c r="AF680" s="160"/>
      <c r="AG680" s="160"/>
      <c r="AH680" s="160"/>
      <c r="AI680" s="160"/>
      <c r="AJ680" s="161"/>
      <c r="AK680" s="162"/>
      <c r="AL680" s="165"/>
      <c r="AM680" s="166"/>
      <c r="AN680" s="165"/>
      <c r="AO680" s="160"/>
      <c r="AP680" s="162"/>
      <c r="AQ680" s="161"/>
      <c r="AR680" s="162"/>
      <c r="AS680" s="161"/>
      <c r="AT680" s="165"/>
      <c r="AU680" s="166"/>
      <c r="AV680" s="165"/>
      <c r="AW680" s="166">
        <f>142.15492+5.43811</f>
        <v>147.59303</v>
      </c>
      <c r="AX680" s="165">
        <f>42.46186+1.62437+13.37603+0.48071</f>
        <v>57.942970000000003</v>
      </c>
      <c r="AY680" s="165">
        <v>445.86027000000001</v>
      </c>
      <c r="AZ680" s="165"/>
      <c r="BA680" s="165">
        <v>104.51236</v>
      </c>
      <c r="BB680" s="166"/>
      <c r="BC680" s="165"/>
      <c r="BD680" s="165"/>
      <c r="BE680" s="165">
        <v>4052.8297499999999</v>
      </c>
      <c r="BF680" s="165">
        <v>4893.2089500000002</v>
      </c>
      <c r="BG680" s="165">
        <v>314.18783999999999</v>
      </c>
      <c r="BH680" s="165"/>
      <c r="BI680" s="165"/>
      <c r="BJ680" s="166"/>
      <c r="BK680" s="165"/>
      <c r="BL680" s="165"/>
      <c r="BM680" s="163"/>
      <c r="BN680" s="165"/>
      <c r="BO680" s="165">
        <v>5544.0483800000002</v>
      </c>
      <c r="BP680" s="165"/>
      <c r="BQ680" s="167"/>
    </row>
    <row r="681" spans="1:270" ht="39.950000000000003" customHeight="1" outlineLevel="1" x14ac:dyDescent="0.3">
      <c r="A681" s="15" t="s">
        <v>857</v>
      </c>
      <c r="B681" s="14" t="s">
        <v>858</v>
      </c>
      <c r="C681" s="9" t="s">
        <v>6</v>
      </c>
      <c r="D681" s="66" t="s">
        <v>859</v>
      </c>
      <c r="E681" s="158">
        <f t="shared" si="141"/>
        <v>79.00215</v>
      </c>
      <c r="F681" s="159">
        <f t="shared" si="142"/>
        <v>30.772269999999999</v>
      </c>
      <c r="G681" s="160">
        <f t="shared" si="143"/>
        <v>48.229880000000001</v>
      </c>
      <c r="H681" s="166"/>
      <c r="I681" s="165"/>
      <c r="J681" s="160"/>
      <c r="K681" s="160"/>
      <c r="L681" s="166">
        <v>30.772269999999999</v>
      </c>
      <c r="M681" s="165">
        <v>48.229880000000001</v>
      </c>
      <c r="N681" s="165"/>
      <c r="O681" s="165"/>
      <c r="P681" s="160"/>
      <c r="Q681" s="166"/>
      <c r="R681" s="165"/>
      <c r="S681" s="165"/>
      <c r="T681" s="159"/>
      <c r="U681" s="160"/>
      <c r="V681" s="165"/>
      <c r="W681" s="165"/>
      <c r="X681" s="160"/>
      <c r="Y681" s="166"/>
      <c r="Z681" s="160"/>
      <c r="AA681" s="160"/>
      <c r="AB681" s="165"/>
      <c r="AC681" s="165"/>
      <c r="AD681" s="165"/>
      <c r="AE681" s="165"/>
      <c r="AF681" s="160"/>
      <c r="AG681" s="160"/>
      <c r="AH681" s="160"/>
      <c r="AI681" s="160"/>
      <c r="AJ681" s="161"/>
      <c r="AK681" s="162"/>
      <c r="AL681" s="165"/>
      <c r="AM681" s="166"/>
      <c r="AN681" s="165"/>
      <c r="AO681" s="160"/>
      <c r="AP681" s="162"/>
      <c r="AQ681" s="161"/>
      <c r="AR681" s="162"/>
      <c r="AS681" s="161"/>
      <c r="AT681" s="165"/>
      <c r="AU681" s="166"/>
      <c r="AV681" s="165"/>
      <c r="AW681" s="166"/>
      <c r="AX681" s="165"/>
      <c r="AY681" s="165"/>
      <c r="AZ681" s="165"/>
      <c r="BA681" s="165"/>
      <c r="BB681" s="166"/>
      <c r="BC681" s="165"/>
      <c r="BD681" s="165"/>
      <c r="BE681" s="165"/>
      <c r="BF681" s="165"/>
      <c r="BG681" s="165"/>
      <c r="BH681" s="165"/>
      <c r="BI681" s="165"/>
      <c r="BJ681" s="166"/>
      <c r="BK681" s="165"/>
      <c r="BL681" s="165"/>
      <c r="BM681" s="163"/>
      <c r="BN681" s="165"/>
      <c r="BO681" s="165"/>
      <c r="BP681" s="165"/>
      <c r="BQ681" s="167"/>
    </row>
    <row r="682" spans="1:270" ht="39.950000000000003" customHeight="1" outlineLevel="1" x14ac:dyDescent="0.3">
      <c r="A682" s="17" t="s">
        <v>857</v>
      </c>
      <c r="B682" s="12" t="s">
        <v>860</v>
      </c>
      <c r="C682" s="9" t="s">
        <v>6</v>
      </c>
      <c r="D682" s="66" t="s">
        <v>861</v>
      </c>
      <c r="E682" s="158">
        <f t="shared" si="141"/>
        <v>5784.62345</v>
      </c>
      <c r="F682" s="159">
        <f t="shared" si="142"/>
        <v>1398.57844</v>
      </c>
      <c r="G682" s="160">
        <f t="shared" si="143"/>
        <v>4386.0450099999998</v>
      </c>
      <c r="H682" s="166">
        <v>245.69976</v>
      </c>
      <c r="I682" s="165">
        <v>81.899919999999995</v>
      </c>
      <c r="J682" s="160"/>
      <c r="K682" s="160"/>
      <c r="L682" s="166">
        <f>507.89554+644.98314</f>
        <v>1152.87868</v>
      </c>
      <c r="M682" s="165">
        <f>796.03311+1010.89278</f>
        <v>1806.92589</v>
      </c>
      <c r="N682" s="165"/>
      <c r="O682" s="165"/>
      <c r="P682" s="160"/>
      <c r="Q682" s="166"/>
      <c r="R682" s="165"/>
      <c r="S682" s="165"/>
      <c r="T682" s="159"/>
      <c r="U682" s="160"/>
      <c r="V682" s="165"/>
      <c r="W682" s="165"/>
      <c r="X682" s="160"/>
      <c r="Y682" s="166"/>
      <c r="Z682" s="160"/>
      <c r="AA682" s="160"/>
      <c r="AB682" s="165"/>
      <c r="AC682" s="165"/>
      <c r="AD682" s="165"/>
      <c r="AE682" s="165"/>
      <c r="AF682" s="160"/>
      <c r="AG682" s="160"/>
      <c r="AH682" s="160"/>
      <c r="AI682" s="160"/>
      <c r="AJ682" s="161"/>
      <c r="AK682" s="162"/>
      <c r="AL682" s="165"/>
      <c r="AM682" s="166"/>
      <c r="AN682" s="165"/>
      <c r="AO682" s="160"/>
      <c r="AP682" s="162"/>
      <c r="AQ682" s="161"/>
      <c r="AR682" s="162"/>
      <c r="AS682" s="161"/>
      <c r="AT682" s="165"/>
      <c r="AU682" s="166"/>
      <c r="AV682" s="165"/>
      <c r="AW682" s="166"/>
      <c r="AX682" s="165"/>
      <c r="AY682" s="165"/>
      <c r="AZ682" s="165"/>
      <c r="BA682" s="165"/>
      <c r="BB682" s="166"/>
      <c r="BC682" s="165"/>
      <c r="BD682" s="165"/>
      <c r="BE682" s="165">
        <v>2497.2192</v>
      </c>
      <c r="BF682" s="165"/>
      <c r="BG682" s="165"/>
      <c r="BH682" s="165"/>
      <c r="BI682" s="165"/>
      <c r="BJ682" s="166"/>
      <c r="BK682" s="165"/>
      <c r="BL682" s="165"/>
      <c r="BM682" s="163"/>
      <c r="BN682" s="165"/>
      <c r="BO682" s="165"/>
      <c r="BP682" s="165"/>
      <c r="BQ682" s="167"/>
    </row>
    <row r="683" spans="1:270" s="34" customFormat="1" ht="37.5" customHeight="1" x14ac:dyDescent="0.3">
      <c r="A683" s="118" t="s">
        <v>883</v>
      </c>
      <c r="B683" s="120"/>
      <c r="C683" s="116" t="s">
        <v>80</v>
      </c>
      <c r="D683" s="117"/>
      <c r="E683" s="173">
        <f t="shared" ref="E683:AI683" si="144">SUBTOTAL(9,E658:E682)</f>
        <v>165321.79209999999</v>
      </c>
      <c r="F683" s="173">
        <f t="shared" si="144"/>
        <v>24583.221599999997</v>
      </c>
      <c r="G683" s="173">
        <f t="shared" si="144"/>
        <v>140738.57049999997</v>
      </c>
      <c r="H683" s="173">
        <f t="shared" si="144"/>
        <v>5933.339750000001</v>
      </c>
      <c r="I683" s="173">
        <f t="shared" si="144"/>
        <v>1977.7799200000002</v>
      </c>
      <c r="J683" s="173">
        <f t="shared" si="144"/>
        <v>1389</v>
      </c>
      <c r="K683" s="173">
        <f t="shared" si="144"/>
        <v>31724</v>
      </c>
      <c r="L683" s="173">
        <f t="shared" si="144"/>
        <v>8388.386480000001</v>
      </c>
      <c r="M683" s="173">
        <f t="shared" si="144"/>
        <v>13147.257300000001</v>
      </c>
      <c r="N683" s="173">
        <f t="shared" si="144"/>
        <v>0</v>
      </c>
      <c r="O683" s="173">
        <f>SUBTOTAL(9,O658:O682)</f>
        <v>0</v>
      </c>
      <c r="P683" s="173">
        <f>SUBTOTAL(9,P658:P682)</f>
        <v>0</v>
      </c>
      <c r="Q683" s="173">
        <f t="shared" si="144"/>
        <v>0</v>
      </c>
      <c r="R683" s="173">
        <f t="shared" si="144"/>
        <v>0</v>
      </c>
      <c r="S683" s="173">
        <f t="shared" si="144"/>
        <v>3154.8958400000001</v>
      </c>
      <c r="T683" s="173">
        <f>SUBTOTAL(9,T658:T682)</f>
        <v>0</v>
      </c>
      <c r="U683" s="173">
        <f>SUBTOTAL(9,U658:U682)</f>
        <v>0</v>
      </c>
      <c r="V683" s="173">
        <f t="shared" si="144"/>
        <v>0</v>
      </c>
      <c r="W683" s="173">
        <f t="shared" si="144"/>
        <v>332.8</v>
      </c>
      <c r="X683" s="173">
        <f>SUBTOTAL(9,X658:X682)</f>
        <v>0</v>
      </c>
      <c r="Y683" s="173">
        <f t="shared" si="144"/>
        <v>7928.9023399999996</v>
      </c>
      <c r="Z683" s="173">
        <f t="shared" si="144"/>
        <v>2642.9674400000004</v>
      </c>
      <c r="AA683" s="173">
        <f t="shared" si="144"/>
        <v>18760.796869999998</v>
      </c>
      <c r="AB683" s="173">
        <f t="shared" si="144"/>
        <v>0</v>
      </c>
      <c r="AC683" s="173">
        <f t="shared" si="144"/>
        <v>4722.3095999999996</v>
      </c>
      <c r="AD683" s="173">
        <f>SUBTOTAL(9,AD658:AD682)</f>
        <v>1545.34665</v>
      </c>
      <c r="AE683" s="173">
        <f t="shared" si="144"/>
        <v>0</v>
      </c>
      <c r="AF683" s="173">
        <f t="shared" si="144"/>
        <v>0</v>
      </c>
      <c r="AG683" s="173">
        <f t="shared" si="144"/>
        <v>0</v>
      </c>
      <c r="AH683" s="173">
        <f t="shared" si="144"/>
        <v>0</v>
      </c>
      <c r="AI683" s="173">
        <f t="shared" si="144"/>
        <v>0</v>
      </c>
      <c r="AJ683" s="173">
        <f t="shared" ref="AJ683:BQ683" si="145">SUBTOTAL(9,AJ658:AJ682)</f>
        <v>0</v>
      </c>
      <c r="AK683" s="173">
        <f t="shared" si="145"/>
        <v>0</v>
      </c>
      <c r="AL683" s="173">
        <f t="shared" si="145"/>
        <v>0</v>
      </c>
      <c r="AM683" s="173">
        <f>SUBTOTAL(9,AM658:AM682)</f>
        <v>2185</v>
      </c>
      <c r="AN683" s="173">
        <f>SUBTOTAL(9,AN658:AN682)</f>
        <v>115</v>
      </c>
      <c r="AO683" s="173">
        <f>SUBTOTAL(9,AO658:AO682)</f>
        <v>0</v>
      </c>
      <c r="AP683" s="173">
        <f t="shared" si="145"/>
        <v>0</v>
      </c>
      <c r="AQ683" s="173">
        <f t="shared" si="145"/>
        <v>0</v>
      </c>
      <c r="AR683" s="173">
        <f t="shared" si="145"/>
        <v>0</v>
      </c>
      <c r="AS683" s="173">
        <f t="shared" si="145"/>
        <v>0</v>
      </c>
      <c r="AT683" s="173">
        <f>SUBTOTAL(9,AT658:AT682)</f>
        <v>0</v>
      </c>
      <c r="AU683" s="173">
        <f t="shared" si="145"/>
        <v>0</v>
      </c>
      <c r="AV683" s="173">
        <f t="shared" si="145"/>
        <v>0</v>
      </c>
      <c r="AW683" s="173">
        <f t="shared" si="145"/>
        <v>147.59303</v>
      </c>
      <c r="AX683" s="173">
        <f t="shared" si="145"/>
        <v>57.942970000000003</v>
      </c>
      <c r="AY683" s="173">
        <f t="shared" si="145"/>
        <v>445.86027000000001</v>
      </c>
      <c r="AZ683" s="173">
        <f t="shared" si="145"/>
        <v>0</v>
      </c>
      <c r="BA683" s="173">
        <f t="shared" si="145"/>
        <v>104.51236</v>
      </c>
      <c r="BB683" s="173">
        <f t="shared" si="145"/>
        <v>0</v>
      </c>
      <c r="BC683" s="173">
        <f t="shared" si="145"/>
        <v>0</v>
      </c>
      <c r="BD683" s="173">
        <f t="shared" si="145"/>
        <v>0</v>
      </c>
      <c r="BE683" s="173">
        <f t="shared" si="145"/>
        <v>21427.680760000003</v>
      </c>
      <c r="BF683" s="173">
        <f t="shared" si="145"/>
        <v>29009.56439</v>
      </c>
      <c r="BG683" s="173">
        <f t="shared" si="145"/>
        <v>346.06283999999999</v>
      </c>
      <c r="BH683" s="173">
        <f t="shared" si="145"/>
        <v>2231.25</v>
      </c>
      <c r="BI683" s="173">
        <f t="shared" si="145"/>
        <v>0</v>
      </c>
      <c r="BJ683" s="173">
        <f t="shared" si="145"/>
        <v>0</v>
      </c>
      <c r="BK683" s="173">
        <f t="shared" si="145"/>
        <v>0</v>
      </c>
      <c r="BL683" s="173">
        <f t="shared" si="145"/>
        <v>0</v>
      </c>
      <c r="BM683" s="174">
        <f>SUBTOTAL(9,BM658:BM682)</f>
        <v>0</v>
      </c>
      <c r="BN683" s="173">
        <f t="shared" si="145"/>
        <v>0</v>
      </c>
      <c r="BO683" s="173">
        <f t="shared" si="145"/>
        <v>7603.5432899999996</v>
      </c>
      <c r="BP683" s="173">
        <f t="shared" si="145"/>
        <v>0</v>
      </c>
      <c r="BQ683" s="174">
        <f t="shared" si="145"/>
        <v>0</v>
      </c>
      <c r="BR683" s="40"/>
      <c r="BS683" s="40"/>
      <c r="BT683" s="40"/>
      <c r="BU683" s="40"/>
      <c r="BV683" s="40"/>
      <c r="BW683" s="40"/>
      <c r="BX683" s="40"/>
      <c r="BY683" s="40"/>
      <c r="BZ683" s="40"/>
      <c r="CA683" s="40"/>
      <c r="CB683" s="40"/>
      <c r="CC683" s="40"/>
      <c r="CD683" s="40"/>
      <c r="CE683" s="40"/>
      <c r="CF683" s="40"/>
      <c r="CG683" s="40"/>
      <c r="CH683" s="40"/>
      <c r="CI683" s="40"/>
      <c r="CJ683" s="40"/>
      <c r="CK683" s="40"/>
      <c r="CL683" s="40"/>
      <c r="CM683" s="40"/>
      <c r="CN683" s="40"/>
      <c r="CO683" s="40"/>
      <c r="CP683" s="40"/>
      <c r="CQ683" s="40"/>
      <c r="CR683" s="40"/>
      <c r="CS683" s="40"/>
      <c r="CT683" s="40"/>
      <c r="CU683" s="40"/>
      <c r="CV683" s="40"/>
      <c r="CW683" s="40"/>
      <c r="CX683" s="40"/>
      <c r="CY683" s="40"/>
      <c r="CZ683" s="40"/>
      <c r="DA683" s="40"/>
      <c r="DB683" s="40"/>
      <c r="DC683" s="40"/>
      <c r="DD683" s="40"/>
      <c r="DE683" s="40"/>
      <c r="DF683" s="40"/>
      <c r="DG683" s="40"/>
      <c r="DH683" s="40"/>
      <c r="DI683" s="40"/>
      <c r="DJ683" s="40"/>
      <c r="DK683" s="40"/>
      <c r="DL683" s="40"/>
      <c r="DM683" s="40"/>
      <c r="DN683" s="40"/>
      <c r="DO683" s="40"/>
      <c r="DP683" s="40"/>
      <c r="DQ683" s="40"/>
      <c r="DR683" s="40"/>
      <c r="DS683" s="40"/>
      <c r="DT683" s="40"/>
      <c r="DU683" s="40"/>
      <c r="DV683" s="40"/>
      <c r="DW683" s="40"/>
      <c r="DX683" s="40"/>
      <c r="DY683" s="40"/>
      <c r="DZ683" s="40"/>
      <c r="EA683" s="40"/>
      <c r="EB683" s="40"/>
      <c r="EC683" s="40"/>
      <c r="ED683" s="40"/>
      <c r="EE683" s="40"/>
      <c r="EF683" s="40"/>
      <c r="EG683" s="40"/>
      <c r="EH683" s="40"/>
      <c r="EI683" s="40"/>
      <c r="EJ683" s="40"/>
      <c r="EK683" s="40"/>
      <c r="EL683" s="40"/>
      <c r="EM683" s="40"/>
      <c r="EN683" s="40"/>
      <c r="EO683" s="40"/>
      <c r="EP683" s="40"/>
      <c r="EQ683" s="40"/>
      <c r="ER683" s="40"/>
      <c r="ES683" s="40"/>
      <c r="ET683" s="40"/>
      <c r="EU683" s="40"/>
      <c r="EV683" s="40"/>
      <c r="EW683" s="40"/>
      <c r="EX683" s="40"/>
      <c r="EY683" s="40"/>
      <c r="EZ683" s="40"/>
      <c r="FA683" s="40"/>
      <c r="FB683" s="40"/>
      <c r="FC683" s="40"/>
      <c r="FD683" s="40"/>
      <c r="FE683" s="40"/>
      <c r="FF683" s="40"/>
      <c r="FG683" s="40"/>
      <c r="FH683" s="40"/>
      <c r="FI683" s="40"/>
      <c r="FJ683" s="40"/>
      <c r="FK683" s="40"/>
      <c r="FL683" s="40"/>
      <c r="FM683" s="40"/>
      <c r="FN683" s="40"/>
      <c r="FO683" s="40"/>
      <c r="FP683" s="40"/>
      <c r="FQ683" s="40"/>
      <c r="FR683" s="40"/>
      <c r="FS683" s="40"/>
      <c r="FT683" s="40"/>
      <c r="FU683" s="40"/>
      <c r="FV683" s="40"/>
      <c r="FW683" s="40"/>
      <c r="FX683" s="40"/>
      <c r="FY683" s="40"/>
      <c r="FZ683" s="40"/>
      <c r="GA683" s="40"/>
      <c r="GB683" s="40"/>
      <c r="GC683" s="40"/>
      <c r="GD683" s="40"/>
      <c r="GE683" s="40"/>
      <c r="GF683" s="40"/>
      <c r="GG683" s="40"/>
      <c r="GH683" s="40"/>
      <c r="GI683" s="40"/>
      <c r="GJ683" s="40"/>
      <c r="GK683" s="40"/>
      <c r="GL683" s="40"/>
      <c r="GM683" s="40"/>
      <c r="GN683" s="40"/>
      <c r="GO683" s="40"/>
      <c r="GP683" s="40"/>
      <c r="GQ683" s="40"/>
      <c r="GR683" s="40"/>
      <c r="GS683" s="40"/>
      <c r="GT683" s="40"/>
      <c r="GU683" s="40"/>
      <c r="GV683" s="40"/>
      <c r="GW683" s="40"/>
      <c r="GX683" s="40"/>
      <c r="GY683" s="40"/>
      <c r="GZ683" s="40"/>
      <c r="HA683" s="40"/>
      <c r="HB683" s="40"/>
      <c r="HC683" s="40"/>
      <c r="HD683" s="40"/>
      <c r="HE683" s="40"/>
      <c r="HF683" s="40"/>
      <c r="HG683" s="40"/>
      <c r="HH683" s="40"/>
      <c r="HI683" s="40"/>
      <c r="HJ683" s="40"/>
      <c r="HK683" s="40"/>
      <c r="HL683" s="40"/>
      <c r="HM683" s="40"/>
      <c r="HN683" s="40"/>
      <c r="HO683" s="40"/>
      <c r="HP683" s="40"/>
      <c r="HQ683" s="40"/>
      <c r="HR683" s="40"/>
      <c r="HS683" s="40"/>
      <c r="HT683" s="40"/>
      <c r="HU683" s="40"/>
      <c r="HV683" s="40"/>
      <c r="HW683" s="40"/>
      <c r="HX683" s="40"/>
      <c r="HY683" s="40"/>
      <c r="HZ683" s="40"/>
      <c r="IA683" s="40"/>
      <c r="IB683" s="40"/>
      <c r="IC683" s="40"/>
      <c r="ID683" s="40"/>
      <c r="IE683" s="40"/>
      <c r="IF683" s="40"/>
      <c r="IG683" s="40"/>
      <c r="IH683" s="40"/>
      <c r="II683" s="40"/>
      <c r="IJ683" s="40"/>
      <c r="IK683" s="40"/>
      <c r="IL683" s="40"/>
      <c r="IM683" s="40"/>
      <c r="IN683" s="40"/>
      <c r="IO683" s="40"/>
      <c r="IP683" s="40"/>
      <c r="IQ683" s="40"/>
      <c r="IR683" s="40"/>
      <c r="IS683" s="40"/>
      <c r="IT683" s="40"/>
      <c r="IU683" s="40"/>
      <c r="IV683" s="40"/>
      <c r="IW683" s="40"/>
      <c r="IX683" s="40"/>
      <c r="IY683" s="40"/>
      <c r="IZ683" s="40"/>
      <c r="JA683" s="40"/>
      <c r="JB683" s="40"/>
      <c r="JC683" s="40"/>
      <c r="JD683" s="40"/>
      <c r="JE683" s="40"/>
      <c r="JF683" s="40"/>
      <c r="JG683" s="40"/>
      <c r="JH683" s="40"/>
      <c r="JI683" s="40"/>
      <c r="JJ683" s="40"/>
    </row>
    <row r="684" spans="1:270" ht="39.950000000000003" customHeight="1" outlineLevel="1" x14ac:dyDescent="0.3">
      <c r="A684" s="12" t="s">
        <v>884</v>
      </c>
      <c r="B684" s="12" t="s">
        <v>910</v>
      </c>
      <c r="C684" s="9" t="s">
        <v>28</v>
      </c>
      <c r="D684" s="66" t="s">
        <v>911</v>
      </c>
      <c r="E684" s="158">
        <f t="shared" ref="E684:E707" si="146">F684+G684</f>
        <v>957.40644000000009</v>
      </c>
      <c r="F684" s="159">
        <f t="shared" ref="F684:F707" si="147">H684+L684+Q684+Y684+T684+AK684+AP684+AM684+AR684+AU684+AW684+BB684+BJ684</f>
        <v>83.106160000000003</v>
      </c>
      <c r="G684" s="160">
        <f t="shared" ref="G684:G707" si="148">I684+J684+K684+M684+N684+R684+S684+V684+W684+AD684+O684+X684+Z684+AA684+AB684+AC684+AE684+AF684+P684+U684+AG684+AH684+AI684+AO684+AJ684+AL684+AQ684+AN684+AS684+AV684+AX684+AY684+AZ684+BA684+BC684+BD684+BE684+BF684+BG684+BH684+BI684+AT684+BK684+BL684+BN684+BO684+BP684+BQ684+BM684</f>
        <v>874.30028000000004</v>
      </c>
      <c r="H684" s="166"/>
      <c r="I684" s="165"/>
      <c r="J684" s="160"/>
      <c r="K684" s="160"/>
      <c r="L684" s="166">
        <v>83.106160000000003</v>
      </c>
      <c r="M684" s="165">
        <v>130.25364999999999</v>
      </c>
      <c r="N684" s="165"/>
      <c r="O684" s="165"/>
      <c r="P684" s="160"/>
      <c r="Q684" s="166"/>
      <c r="R684" s="165"/>
      <c r="S684" s="165"/>
      <c r="T684" s="159"/>
      <c r="U684" s="160"/>
      <c r="V684" s="165"/>
      <c r="W684" s="165"/>
      <c r="X684" s="160"/>
      <c r="Y684" s="166"/>
      <c r="Z684" s="160"/>
      <c r="AA684" s="160"/>
      <c r="AB684" s="165"/>
      <c r="AC684" s="165"/>
      <c r="AD684" s="165"/>
      <c r="AE684" s="165"/>
      <c r="AF684" s="160"/>
      <c r="AG684" s="160"/>
      <c r="AH684" s="160"/>
      <c r="AI684" s="160"/>
      <c r="AJ684" s="161"/>
      <c r="AK684" s="162"/>
      <c r="AL684" s="165"/>
      <c r="AM684" s="166"/>
      <c r="AN684" s="165"/>
      <c r="AO684" s="160"/>
      <c r="AP684" s="162"/>
      <c r="AQ684" s="161"/>
      <c r="AR684" s="162"/>
      <c r="AS684" s="161"/>
      <c r="AT684" s="165"/>
      <c r="AU684" s="166"/>
      <c r="AV684" s="165"/>
      <c r="AW684" s="166"/>
      <c r="AX684" s="165"/>
      <c r="AY684" s="165"/>
      <c r="AZ684" s="165"/>
      <c r="BA684" s="165"/>
      <c r="BB684" s="166"/>
      <c r="BC684" s="165"/>
      <c r="BD684" s="165"/>
      <c r="BE684" s="165">
        <v>25.596630000000001</v>
      </c>
      <c r="BF684" s="165"/>
      <c r="BG684" s="165"/>
      <c r="BH684" s="165">
        <v>718.45</v>
      </c>
      <c r="BI684" s="165"/>
      <c r="BJ684" s="166"/>
      <c r="BK684" s="165"/>
      <c r="BL684" s="165"/>
      <c r="BM684" s="163"/>
      <c r="BN684" s="165"/>
      <c r="BO684" s="165"/>
      <c r="BP684" s="165"/>
      <c r="BQ684" s="167"/>
    </row>
    <row r="685" spans="1:270" ht="39.950000000000003" customHeight="1" outlineLevel="1" x14ac:dyDescent="0.3">
      <c r="A685" s="12" t="s">
        <v>884</v>
      </c>
      <c r="B685" s="12" t="s">
        <v>909</v>
      </c>
      <c r="C685" s="9" t="s">
        <v>28</v>
      </c>
      <c r="D685" s="68">
        <v>240402614185</v>
      </c>
      <c r="E685" s="158">
        <f t="shared" si="146"/>
        <v>209.78372000000002</v>
      </c>
      <c r="F685" s="159">
        <f t="shared" si="147"/>
        <v>81.713229999999996</v>
      </c>
      <c r="G685" s="160">
        <f t="shared" si="148"/>
        <v>128.07049000000001</v>
      </c>
      <c r="H685" s="166"/>
      <c r="I685" s="165"/>
      <c r="J685" s="160"/>
      <c r="K685" s="160"/>
      <c r="L685" s="166">
        <v>81.713229999999996</v>
      </c>
      <c r="M685" s="165">
        <v>128.07049000000001</v>
      </c>
      <c r="N685" s="165"/>
      <c r="O685" s="165"/>
      <c r="P685" s="160"/>
      <c r="Q685" s="166"/>
      <c r="R685" s="165"/>
      <c r="S685" s="165"/>
      <c r="T685" s="159"/>
      <c r="U685" s="160"/>
      <c r="V685" s="165"/>
      <c r="W685" s="165"/>
      <c r="X685" s="160"/>
      <c r="Y685" s="166"/>
      <c r="Z685" s="160"/>
      <c r="AA685" s="160"/>
      <c r="AB685" s="165"/>
      <c r="AC685" s="165"/>
      <c r="AD685" s="165"/>
      <c r="AE685" s="165"/>
      <c r="AF685" s="160"/>
      <c r="AG685" s="160"/>
      <c r="AH685" s="160"/>
      <c r="AI685" s="160"/>
      <c r="AJ685" s="161"/>
      <c r="AK685" s="162"/>
      <c r="AL685" s="165"/>
      <c r="AM685" s="166"/>
      <c r="AN685" s="165"/>
      <c r="AO685" s="160"/>
      <c r="AP685" s="162"/>
      <c r="AQ685" s="161"/>
      <c r="AR685" s="162"/>
      <c r="AS685" s="161"/>
      <c r="AT685" s="165"/>
      <c r="AU685" s="166"/>
      <c r="AV685" s="165"/>
      <c r="AW685" s="166"/>
      <c r="AX685" s="165"/>
      <c r="AY685" s="165"/>
      <c r="AZ685" s="165"/>
      <c r="BA685" s="165"/>
      <c r="BB685" s="166"/>
      <c r="BC685" s="165"/>
      <c r="BD685" s="165"/>
      <c r="BE685" s="165"/>
      <c r="BF685" s="165"/>
      <c r="BG685" s="165"/>
      <c r="BH685" s="165"/>
      <c r="BI685" s="165"/>
      <c r="BJ685" s="166"/>
      <c r="BK685" s="165"/>
      <c r="BL685" s="165"/>
      <c r="BM685" s="163"/>
      <c r="BN685" s="165"/>
      <c r="BO685" s="165"/>
      <c r="BP685" s="165"/>
      <c r="BQ685" s="167"/>
    </row>
    <row r="686" spans="1:270" ht="39.950000000000003" customHeight="1" outlineLevel="1" x14ac:dyDescent="0.3">
      <c r="A686" s="17" t="s">
        <v>884</v>
      </c>
      <c r="B686" s="14" t="s">
        <v>899</v>
      </c>
      <c r="C686" s="9" t="s">
        <v>30</v>
      </c>
      <c r="D686" s="66" t="s">
        <v>900</v>
      </c>
      <c r="E686" s="158">
        <f t="shared" si="146"/>
        <v>1121.8244500000001</v>
      </c>
      <c r="F686" s="159">
        <f t="shared" si="147"/>
        <v>352.46624000000003</v>
      </c>
      <c r="G686" s="160">
        <f t="shared" si="148"/>
        <v>769.35820999999999</v>
      </c>
      <c r="H686" s="166">
        <v>262.45735000000002</v>
      </c>
      <c r="I686" s="165">
        <v>87.485780000000005</v>
      </c>
      <c r="J686" s="160"/>
      <c r="K686" s="160"/>
      <c r="L686" s="166">
        <v>90.008889999999994</v>
      </c>
      <c r="M686" s="165">
        <v>141.07243</v>
      </c>
      <c r="N686" s="165"/>
      <c r="O686" s="165"/>
      <c r="P686" s="160"/>
      <c r="Q686" s="166"/>
      <c r="R686" s="165"/>
      <c r="S686" s="165"/>
      <c r="T686" s="159"/>
      <c r="U686" s="160"/>
      <c r="V686" s="165"/>
      <c r="W686" s="165">
        <v>540.79999999999995</v>
      </c>
      <c r="X686" s="160"/>
      <c r="Y686" s="166"/>
      <c r="Z686" s="160"/>
      <c r="AA686" s="160"/>
      <c r="AB686" s="165"/>
      <c r="AC686" s="165"/>
      <c r="AD686" s="165"/>
      <c r="AE686" s="165"/>
      <c r="AF686" s="160"/>
      <c r="AG686" s="160"/>
      <c r="AH686" s="160"/>
      <c r="AI686" s="160"/>
      <c r="AJ686" s="161"/>
      <c r="AK686" s="162"/>
      <c r="AL686" s="165"/>
      <c r="AM686" s="166"/>
      <c r="AN686" s="165"/>
      <c r="AO686" s="160"/>
      <c r="AP686" s="162"/>
      <c r="AQ686" s="161"/>
      <c r="AR686" s="162"/>
      <c r="AS686" s="161"/>
      <c r="AT686" s="165"/>
      <c r="AU686" s="166"/>
      <c r="AV686" s="165"/>
      <c r="AW686" s="166"/>
      <c r="AX686" s="165"/>
      <c r="AY686" s="165"/>
      <c r="AZ686" s="165"/>
      <c r="BA686" s="165"/>
      <c r="BB686" s="166"/>
      <c r="BC686" s="165"/>
      <c r="BD686" s="165"/>
      <c r="BE686" s="165"/>
      <c r="BF686" s="165"/>
      <c r="BG686" s="165"/>
      <c r="BH686" s="165"/>
      <c r="BI686" s="165"/>
      <c r="BJ686" s="166"/>
      <c r="BK686" s="165"/>
      <c r="BL686" s="165"/>
      <c r="BM686" s="163"/>
      <c r="BN686" s="165"/>
      <c r="BO686" s="165"/>
      <c r="BP686" s="165"/>
      <c r="BQ686" s="167"/>
    </row>
    <row r="687" spans="1:270" ht="39.950000000000003" customHeight="1" outlineLevel="1" x14ac:dyDescent="0.3">
      <c r="A687" s="17" t="s">
        <v>884</v>
      </c>
      <c r="B687" s="14" t="s">
        <v>1535</v>
      </c>
      <c r="C687" s="9" t="s">
        <v>30</v>
      </c>
      <c r="D687" s="66">
        <v>243301322209</v>
      </c>
      <c r="E687" s="158">
        <f t="shared" si="146"/>
        <v>3000</v>
      </c>
      <c r="F687" s="159">
        <f t="shared" si="147"/>
        <v>2850</v>
      </c>
      <c r="G687" s="160">
        <f t="shared" si="148"/>
        <v>150</v>
      </c>
      <c r="H687" s="166"/>
      <c r="I687" s="165"/>
      <c r="J687" s="160"/>
      <c r="K687" s="160"/>
      <c r="L687" s="166"/>
      <c r="M687" s="165"/>
      <c r="N687" s="165"/>
      <c r="O687" s="165"/>
      <c r="P687" s="160"/>
      <c r="Q687" s="166"/>
      <c r="R687" s="165"/>
      <c r="S687" s="165"/>
      <c r="T687" s="159"/>
      <c r="U687" s="160"/>
      <c r="V687" s="165"/>
      <c r="W687" s="165"/>
      <c r="X687" s="160"/>
      <c r="Y687" s="166"/>
      <c r="Z687" s="160"/>
      <c r="AA687" s="160"/>
      <c r="AB687" s="165"/>
      <c r="AC687" s="165"/>
      <c r="AD687" s="165"/>
      <c r="AE687" s="165"/>
      <c r="AF687" s="160"/>
      <c r="AG687" s="160"/>
      <c r="AH687" s="160"/>
      <c r="AI687" s="160"/>
      <c r="AJ687" s="161"/>
      <c r="AK687" s="162"/>
      <c r="AL687" s="165"/>
      <c r="AM687" s="166">
        <v>2850</v>
      </c>
      <c r="AN687" s="165">
        <v>150</v>
      </c>
      <c r="AO687" s="160"/>
      <c r="AP687" s="162"/>
      <c r="AQ687" s="161"/>
      <c r="AR687" s="162"/>
      <c r="AS687" s="161"/>
      <c r="AT687" s="165"/>
      <c r="AU687" s="166"/>
      <c r="AV687" s="165"/>
      <c r="AW687" s="166"/>
      <c r="AX687" s="165"/>
      <c r="AY687" s="165"/>
      <c r="AZ687" s="165"/>
      <c r="BA687" s="165"/>
      <c r="BB687" s="166"/>
      <c r="BC687" s="165"/>
      <c r="BD687" s="165"/>
      <c r="BE687" s="165"/>
      <c r="BF687" s="165"/>
      <c r="BG687" s="165"/>
      <c r="BH687" s="165"/>
      <c r="BI687" s="165"/>
      <c r="BJ687" s="166"/>
      <c r="BK687" s="165"/>
      <c r="BL687" s="165"/>
      <c r="BM687" s="163"/>
      <c r="BN687" s="165"/>
      <c r="BO687" s="165"/>
      <c r="BP687" s="165"/>
      <c r="BQ687" s="167"/>
    </row>
    <row r="688" spans="1:270" ht="39.950000000000003" customHeight="1" outlineLevel="1" x14ac:dyDescent="0.3">
      <c r="A688" s="12" t="s">
        <v>884</v>
      </c>
      <c r="B688" s="12" t="s">
        <v>908</v>
      </c>
      <c r="C688" s="9" t="s">
        <v>30</v>
      </c>
      <c r="D688" s="68">
        <v>243300004404</v>
      </c>
      <c r="E688" s="158">
        <f t="shared" si="146"/>
        <v>166.4</v>
      </c>
      <c r="F688" s="159">
        <f t="shared" si="147"/>
        <v>0</v>
      </c>
      <c r="G688" s="160">
        <f t="shared" si="148"/>
        <v>166.4</v>
      </c>
      <c r="H688" s="166"/>
      <c r="I688" s="165"/>
      <c r="J688" s="160"/>
      <c r="K688" s="160"/>
      <c r="L688" s="166"/>
      <c r="M688" s="165"/>
      <c r="N688" s="165"/>
      <c r="O688" s="165"/>
      <c r="P688" s="160"/>
      <c r="Q688" s="166"/>
      <c r="R688" s="165"/>
      <c r="S688" s="165"/>
      <c r="T688" s="159"/>
      <c r="U688" s="160"/>
      <c r="V688" s="165"/>
      <c r="W688" s="165">
        <v>166.4</v>
      </c>
      <c r="X688" s="160"/>
      <c r="Y688" s="166"/>
      <c r="Z688" s="160"/>
      <c r="AA688" s="160"/>
      <c r="AB688" s="165"/>
      <c r="AC688" s="165"/>
      <c r="AD688" s="165"/>
      <c r="AE688" s="165"/>
      <c r="AF688" s="160"/>
      <c r="AG688" s="160"/>
      <c r="AH688" s="160"/>
      <c r="AI688" s="160"/>
      <c r="AJ688" s="161"/>
      <c r="AK688" s="162"/>
      <c r="AL688" s="165"/>
      <c r="AM688" s="166"/>
      <c r="AN688" s="165"/>
      <c r="AO688" s="160"/>
      <c r="AP688" s="162"/>
      <c r="AQ688" s="161"/>
      <c r="AR688" s="162"/>
      <c r="AS688" s="161"/>
      <c r="AT688" s="165"/>
      <c r="AU688" s="166"/>
      <c r="AV688" s="165"/>
      <c r="AW688" s="166"/>
      <c r="AX688" s="165"/>
      <c r="AY688" s="165"/>
      <c r="AZ688" s="165"/>
      <c r="BA688" s="165"/>
      <c r="BB688" s="166"/>
      <c r="BC688" s="165"/>
      <c r="BD688" s="165"/>
      <c r="BE688" s="165"/>
      <c r="BF688" s="165"/>
      <c r="BG688" s="165"/>
      <c r="BH688" s="165"/>
      <c r="BI688" s="165"/>
      <c r="BJ688" s="166"/>
      <c r="BK688" s="165"/>
      <c r="BL688" s="165"/>
      <c r="BM688" s="163"/>
      <c r="BN688" s="165"/>
      <c r="BO688" s="165"/>
      <c r="BP688" s="165"/>
      <c r="BQ688" s="167"/>
    </row>
    <row r="689" spans="1:69" ht="39.950000000000003" customHeight="1" outlineLevel="1" x14ac:dyDescent="0.3">
      <c r="A689" s="12" t="s">
        <v>884</v>
      </c>
      <c r="B689" s="12" t="s">
        <v>907</v>
      </c>
      <c r="C689" s="9" t="s">
        <v>30</v>
      </c>
      <c r="D689" s="68">
        <v>243300015639</v>
      </c>
      <c r="E689" s="158">
        <f t="shared" si="146"/>
        <v>52.960659999999997</v>
      </c>
      <c r="F689" s="159">
        <f t="shared" si="147"/>
        <v>20.628799999999998</v>
      </c>
      <c r="G689" s="160">
        <f t="shared" si="148"/>
        <v>32.331859999999999</v>
      </c>
      <c r="H689" s="166"/>
      <c r="I689" s="165"/>
      <c r="J689" s="160"/>
      <c r="K689" s="160"/>
      <c r="L689" s="166">
        <v>20.628799999999998</v>
      </c>
      <c r="M689" s="165">
        <v>32.331859999999999</v>
      </c>
      <c r="N689" s="165"/>
      <c r="O689" s="165"/>
      <c r="P689" s="160"/>
      <c r="Q689" s="166"/>
      <c r="R689" s="165"/>
      <c r="S689" s="165"/>
      <c r="T689" s="159"/>
      <c r="U689" s="160"/>
      <c r="V689" s="165"/>
      <c r="W689" s="165"/>
      <c r="X689" s="160"/>
      <c r="Y689" s="166"/>
      <c r="Z689" s="160"/>
      <c r="AA689" s="160"/>
      <c r="AB689" s="165"/>
      <c r="AC689" s="165"/>
      <c r="AD689" s="165"/>
      <c r="AE689" s="165"/>
      <c r="AF689" s="160"/>
      <c r="AG689" s="160"/>
      <c r="AH689" s="160"/>
      <c r="AI689" s="160"/>
      <c r="AJ689" s="161"/>
      <c r="AK689" s="162"/>
      <c r="AL689" s="165"/>
      <c r="AM689" s="166"/>
      <c r="AN689" s="165"/>
      <c r="AO689" s="160"/>
      <c r="AP689" s="162"/>
      <c r="AQ689" s="161"/>
      <c r="AR689" s="162"/>
      <c r="AS689" s="161"/>
      <c r="AT689" s="165"/>
      <c r="AU689" s="166"/>
      <c r="AV689" s="165"/>
      <c r="AW689" s="166"/>
      <c r="AX689" s="165"/>
      <c r="AY689" s="165"/>
      <c r="AZ689" s="165"/>
      <c r="BA689" s="165"/>
      <c r="BB689" s="166"/>
      <c r="BC689" s="165"/>
      <c r="BD689" s="165"/>
      <c r="BE689" s="165"/>
      <c r="BF689" s="165"/>
      <c r="BG689" s="165"/>
      <c r="BH689" s="165"/>
      <c r="BI689" s="165"/>
      <c r="BJ689" s="166"/>
      <c r="BK689" s="165"/>
      <c r="BL689" s="165"/>
      <c r="BM689" s="163"/>
      <c r="BN689" s="165"/>
      <c r="BO689" s="165"/>
      <c r="BP689" s="165"/>
      <c r="BQ689" s="167"/>
    </row>
    <row r="690" spans="1:69" ht="39.950000000000003" customHeight="1" outlineLevel="1" x14ac:dyDescent="0.3">
      <c r="A690" s="12" t="s">
        <v>884</v>
      </c>
      <c r="B690" s="12" t="s">
        <v>912</v>
      </c>
      <c r="C690" s="9" t="s">
        <v>30</v>
      </c>
      <c r="D690" s="68">
        <v>2433004150</v>
      </c>
      <c r="E690" s="158">
        <f t="shared" si="146"/>
        <v>710.11202000000003</v>
      </c>
      <c r="F690" s="159">
        <f t="shared" si="147"/>
        <v>495.63468</v>
      </c>
      <c r="G690" s="160">
        <f t="shared" si="148"/>
        <v>214.47734</v>
      </c>
      <c r="H690" s="166">
        <v>455.71050000000002</v>
      </c>
      <c r="I690" s="165">
        <v>151.90350000000001</v>
      </c>
      <c r="J690" s="160"/>
      <c r="K690" s="160"/>
      <c r="L690" s="166">
        <v>39.92418</v>
      </c>
      <c r="M690" s="165">
        <v>62.573839999999997</v>
      </c>
      <c r="N690" s="165"/>
      <c r="O690" s="165"/>
      <c r="P690" s="160"/>
      <c r="Q690" s="166"/>
      <c r="R690" s="165"/>
      <c r="S690" s="165"/>
      <c r="T690" s="159"/>
      <c r="U690" s="160"/>
      <c r="V690" s="165"/>
      <c r="W690" s="165"/>
      <c r="X690" s="160"/>
      <c r="Y690" s="166"/>
      <c r="Z690" s="160"/>
      <c r="AA690" s="160"/>
      <c r="AB690" s="165"/>
      <c r="AC690" s="165"/>
      <c r="AD690" s="165"/>
      <c r="AE690" s="165"/>
      <c r="AF690" s="160"/>
      <c r="AG690" s="160"/>
      <c r="AH690" s="160"/>
      <c r="AI690" s="160"/>
      <c r="AJ690" s="161"/>
      <c r="AK690" s="162"/>
      <c r="AL690" s="165"/>
      <c r="AM690" s="166"/>
      <c r="AN690" s="165"/>
      <c r="AO690" s="160"/>
      <c r="AP690" s="162"/>
      <c r="AQ690" s="161"/>
      <c r="AR690" s="162"/>
      <c r="AS690" s="161"/>
      <c r="AT690" s="165"/>
      <c r="AU690" s="166"/>
      <c r="AV690" s="165"/>
      <c r="AW690" s="166"/>
      <c r="AX690" s="165"/>
      <c r="AY690" s="165"/>
      <c r="AZ690" s="165"/>
      <c r="BA690" s="165"/>
      <c r="BB690" s="166"/>
      <c r="BC690" s="165"/>
      <c r="BD690" s="165"/>
      <c r="BE690" s="165"/>
      <c r="BF690" s="165"/>
      <c r="BG690" s="165"/>
      <c r="BH690" s="165"/>
      <c r="BI690" s="165"/>
      <c r="BJ690" s="166"/>
      <c r="BK690" s="165"/>
      <c r="BL690" s="165"/>
      <c r="BM690" s="163"/>
      <c r="BN690" s="165"/>
      <c r="BO690" s="165"/>
      <c r="BP690" s="165"/>
      <c r="BQ690" s="167"/>
    </row>
    <row r="691" spans="1:69" ht="39.950000000000003" customHeight="1" outlineLevel="1" x14ac:dyDescent="0.3">
      <c r="A691" s="12" t="s">
        <v>884</v>
      </c>
      <c r="B691" s="12" t="s">
        <v>1342</v>
      </c>
      <c r="C691" s="9" t="s">
        <v>30</v>
      </c>
      <c r="D691" s="68">
        <v>243301706100</v>
      </c>
      <c r="E691" s="158">
        <f t="shared" si="146"/>
        <v>42.61016</v>
      </c>
      <c r="F691" s="159">
        <f t="shared" si="147"/>
        <v>16.597159999999999</v>
      </c>
      <c r="G691" s="160">
        <f t="shared" si="148"/>
        <v>26.013000000000002</v>
      </c>
      <c r="H691" s="166"/>
      <c r="I691" s="165"/>
      <c r="J691" s="160"/>
      <c r="K691" s="160"/>
      <c r="L691" s="166">
        <v>16.597159999999999</v>
      </c>
      <c r="M691" s="165">
        <v>26.013000000000002</v>
      </c>
      <c r="N691" s="165"/>
      <c r="O691" s="165"/>
      <c r="P691" s="160"/>
      <c r="Q691" s="166"/>
      <c r="R691" s="165"/>
      <c r="S691" s="165"/>
      <c r="T691" s="159"/>
      <c r="U691" s="160"/>
      <c r="V691" s="165"/>
      <c r="W691" s="165"/>
      <c r="X691" s="160"/>
      <c r="Y691" s="166"/>
      <c r="Z691" s="160"/>
      <c r="AA691" s="160"/>
      <c r="AB691" s="165"/>
      <c r="AC691" s="165"/>
      <c r="AD691" s="165"/>
      <c r="AE691" s="165"/>
      <c r="AF691" s="160"/>
      <c r="AG691" s="160"/>
      <c r="AH691" s="160"/>
      <c r="AI691" s="160"/>
      <c r="AJ691" s="161"/>
      <c r="AK691" s="162"/>
      <c r="AL691" s="165"/>
      <c r="AM691" s="166"/>
      <c r="AN691" s="165"/>
      <c r="AO691" s="160"/>
      <c r="AP691" s="162"/>
      <c r="AQ691" s="161"/>
      <c r="AR691" s="162"/>
      <c r="AS691" s="161"/>
      <c r="AT691" s="165"/>
      <c r="AU691" s="166"/>
      <c r="AV691" s="165"/>
      <c r="AW691" s="166"/>
      <c r="AX691" s="165"/>
      <c r="AY691" s="165"/>
      <c r="AZ691" s="165"/>
      <c r="BA691" s="165"/>
      <c r="BB691" s="166"/>
      <c r="BC691" s="165"/>
      <c r="BD691" s="165"/>
      <c r="BE691" s="165"/>
      <c r="BF691" s="165"/>
      <c r="BG691" s="165"/>
      <c r="BH691" s="165"/>
      <c r="BI691" s="165"/>
      <c r="BJ691" s="166"/>
      <c r="BK691" s="165"/>
      <c r="BL691" s="165"/>
      <c r="BM691" s="163"/>
      <c r="BN691" s="165"/>
      <c r="BO691" s="165"/>
      <c r="BP691" s="165"/>
      <c r="BQ691" s="167"/>
    </row>
    <row r="692" spans="1:69" ht="39.950000000000003" customHeight="1" outlineLevel="1" x14ac:dyDescent="0.3">
      <c r="A692" s="12" t="s">
        <v>884</v>
      </c>
      <c r="B692" s="12" t="s">
        <v>1299</v>
      </c>
      <c r="C692" s="9" t="s">
        <v>30</v>
      </c>
      <c r="D692" s="66">
        <v>243301135569</v>
      </c>
      <c r="E692" s="158">
        <f t="shared" si="146"/>
        <v>1031.59213</v>
      </c>
      <c r="F692" s="159">
        <f t="shared" si="147"/>
        <v>117.32222</v>
      </c>
      <c r="G692" s="160">
        <f t="shared" si="148"/>
        <v>914.26990999999998</v>
      </c>
      <c r="H692" s="166"/>
      <c r="I692" s="165"/>
      <c r="J692" s="160"/>
      <c r="K692" s="160"/>
      <c r="L692" s="166"/>
      <c r="M692" s="165"/>
      <c r="N692" s="165"/>
      <c r="O692" s="165"/>
      <c r="P692" s="160"/>
      <c r="Q692" s="166"/>
      <c r="R692" s="165"/>
      <c r="S692" s="165"/>
      <c r="T692" s="159"/>
      <c r="U692" s="160"/>
      <c r="V692" s="165"/>
      <c r="W692" s="165"/>
      <c r="X692" s="160"/>
      <c r="Y692" s="166">
        <v>117.32222</v>
      </c>
      <c r="Z692" s="160">
        <v>39.107410000000002</v>
      </c>
      <c r="AA692" s="160">
        <v>532.07500000000005</v>
      </c>
      <c r="AB692" s="165"/>
      <c r="AC692" s="165"/>
      <c r="AD692" s="165"/>
      <c r="AE692" s="165"/>
      <c r="AF692" s="160"/>
      <c r="AG692" s="160"/>
      <c r="AH692" s="160"/>
      <c r="AI692" s="160"/>
      <c r="AJ692" s="161"/>
      <c r="AK692" s="162"/>
      <c r="AL692" s="165"/>
      <c r="AM692" s="166"/>
      <c r="AN692" s="165"/>
      <c r="AO692" s="160"/>
      <c r="AP692" s="162"/>
      <c r="AQ692" s="161"/>
      <c r="AR692" s="162"/>
      <c r="AS692" s="161"/>
      <c r="AT692" s="165"/>
      <c r="AU692" s="166"/>
      <c r="AV692" s="165"/>
      <c r="AW692" s="166"/>
      <c r="AX692" s="165"/>
      <c r="AY692" s="165"/>
      <c r="AZ692" s="165"/>
      <c r="BA692" s="165"/>
      <c r="BB692" s="166"/>
      <c r="BC692" s="165"/>
      <c r="BD692" s="165"/>
      <c r="BE692" s="165"/>
      <c r="BF692" s="165"/>
      <c r="BG692" s="165"/>
      <c r="BH692" s="165"/>
      <c r="BI692" s="165"/>
      <c r="BJ692" s="166"/>
      <c r="BK692" s="165"/>
      <c r="BL692" s="165"/>
      <c r="BM692" s="163"/>
      <c r="BN692" s="165"/>
      <c r="BO692" s="165">
        <v>343.08749999999998</v>
      </c>
      <c r="BP692" s="165"/>
      <c r="BQ692" s="167"/>
    </row>
    <row r="693" spans="1:69" ht="39.950000000000003" customHeight="1" outlineLevel="1" x14ac:dyDescent="0.3">
      <c r="A693" s="12" t="s">
        <v>884</v>
      </c>
      <c r="B693" s="12" t="s">
        <v>1534</v>
      </c>
      <c r="C693" s="9" t="s">
        <v>30</v>
      </c>
      <c r="D693" s="66">
        <v>243301147758</v>
      </c>
      <c r="E693" s="158">
        <f t="shared" si="146"/>
        <v>3000</v>
      </c>
      <c r="F693" s="159">
        <f t="shared" si="147"/>
        <v>2850</v>
      </c>
      <c r="G693" s="160">
        <f t="shared" si="148"/>
        <v>150</v>
      </c>
      <c r="H693" s="166"/>
      <c r="I693" s="165"/>
      <c r="J693" s="160"/>
      <c r="K693" s="160"/>
      <c r="L693" s="166"/>
      <c r="M693" s="165"/>
      <c r="N693" s="165"/>
      <c r="O693" s="165"/>
      <c r="P693" s="160"/>
      <c r="Q693" s="166"/>
      <c r="R693" s="165"/>
      <c r="S693" s="165"/>
      <c r="T693" s="159"/>
      <c r="U693" s="160"/>
      <c r="V693" s="165"/>
      <c r="W693" s="165"/>
      <c r="X693" s="160"/>
      <c r="Y693" s="166"/>
      <c r="Z693" s="160"/>
      <c r="AA693" s="160"/>
      <c r="AB693" s="165"/>
      <c r="AC693" s="165"/>
      <c r="AD693" s="165"/>
      <c r="AE693" s="165"/>
      <c r="AF693" s="160"/>
      <c r="AG693" s="160"/>
      <c r="AH693" s="160"/>
      <c r="AI693" s="160"/>
      <c r="AJ693" s="161"/>
      <c r="AK693" s="162"/>
      <c r="AL693" s="165"/>
      <c r="AM693" s="166">
        <v>2850</v>
      </c>
      <c r="AN693" s="165">
        <v>150</v>
      </c>
      <c r="AO693" s="160"/>
      <c r="AP693" s="162"/>
      <c r="AQ693" s="161"/>
      <c r="AR693" s="162"/>
      <c r="AS693" s="161"/>
      <c r="AT693" s="165"/>
      <c r="AU693" s="166"/>
      <c r="AV693" s="165"/>
      <c r="AW693" s="166"/>
      <c r="AX693" s="165"/>
      <c r="AY693" s="165"/>
      <c r="AZ693" s="165"/>
      <c r="BA693" s="165"/>
      <c r="BB693" s="166"/>
      <c r="BC693" s="165"/>
      <c r="BD693" s="165"/>
      <c r="BE693" s="165"/>
      <c r="BF693" s="165"/>
      <c r="BG693" s="165"/>
      <c r="BH693" s="165"/>
      <c r="BI693" s="165"/>
      <c r="BJ693" s="166"/>
      <c r="BK693" s="165"/>
      <c r="BL693" s="165"/>
      <c r="BM693" s="163"/>
      <c r="BN693" s="165"/>
      <c r="BO693" s="165"/>
      <c r="BP693" s="165"/>
      <c r="BQ693" s="167"/>
    </row>
    <row r="694" spans="1:69" ht="39.950000000000003" customHeight="1" outlineLevel="1" x14ac:dyDescent="0.3">
      <c r="A694" s="12" t="s">
        <v>884</v>
      </c>
      <c r="B694" s="12" t="s">
        <v>1298</v>
      </c>
      <c r="C694" s="9" t="s">
        <v>30</v>
      </c>
      <c r="D694" s="66" t="s">
        <v>901</v>
      </c>
      <c r="E694" s="158">
        <f t="shared" si="146"/>
        <v>2575.2014899999999</v>
      </c>
      <c r="F694" s="159">
        <f t="shared" si="147"/>
        <v>473.09211999999997</v>
      </c>
      <c r="G694" s="160">
        <f t="shared" si="148"/>
        <v>2102.1093700000001</v>
      </c>
      <c r="H694" s="166">
        <v>352.76445999999999</v>
      </c>
      <c r="I694" s="165">
        <v>117.58815</v>
      </c>
      <c r="J694" s="160"/>
      <c r="K694" s="160"/>
      <c r="L694" s="166">
        <v>120.32765999999999</v>
      </c>
      <c r="M694" s="165">
        <v>188.59153000000001</v>
      </c>
      <c r="N694" s="165"/>
      <c r="O694" s="165"/>
      <c r="P694" s="160"/>
      <c r="Q694" s="166"/>
      <c r="R694" s="165"/>
      <c r="S694" s="165"/>
      <c r="T694" s="159"/>
      <c r="U694" s="160"/>
      <c r="V694" s="165"/>
      <c r="W694" s="165"/>
      <c r="X694" s="160"/>
      <c r="Y694" s="166"/>
      <c r="Z694" s="160"/>
      <c r="AA694" s="160"/>
      <c r="AB694" s="165"/>
      <c r="AC694" s="165"/>
      <c r="AD694" s="165"/>
      <c r="AE694" s="165"/>
      <c r="AF694" s="160"/>
      <c r="AG694" s="160"/>
      <c r="AH694" s="160"/>
      <c r="AI694" s="160">
        <v>8.5329800000000002</v>
      </c>
      <c r="AJ694" s="161"/>
      <c r="AK694" s="162"/>
      <c r="AL694" s="165"/>
      <c r="AM694" s="166"/>
      <c r="AN694" s="165"/>
      <c r="AO694" s="160"/>
      <c r="AP694" s="162"/>
      <c r="AQ694" s="161"/>
      <c r="AR694" s="162"/>
      <c r="AS694" s="161"/>
      <c r="AT694" s="165"/>
      <c r="AU694" s="166"/>
      <c r="AV694" s="165"/>
      <c r="AW694" s="166"/>
      <c r="AX694" s="165"/>
      <c r="AY694" s="165"/>
      <c r="AZ694" s="165"/>
      <c r="BA694" s="165"/>
      <c r="BB694" s="166"/>
      <c r="BC694" s="165"/>
      <c r="BD694" s="165"/>
      <c r="BE694" s="165"/>
      <c r="BF694" s="165">
        <v>1787.39671</v>
      </c>
      <c r="BG694" s="165"/>
      <c r="BH694" s="165"/>
      <c r="BI694" s="165"/>
      <c r="BJ694" s="166"/>
      <c r="BK694" s="165"/>
      <c r="BL694" s="165"/>
      <c r="BM694" s="163"/>
      <c r="BN694" s="165"/>
      <c r="BO694" s="165"/>
      <c r="BP694" s="165"/>
      <c r="BQ694" s="167"/>
    </row>
    <row r="695" spans="1:69" ht="39.950000000000003" customHeight="1" outlineLevel="1" x14ac:dyDescent="0.3">
      <c r="A695" s="12" t="s">
        <v>884</v>
      </c>
      <c r="B695" s="12" t="s">
        <v>904</v>
      </c>
      <c r="C695" s="9" t="s">
        <v>30</v>
      </c>
      <c r="D695" s="66" t="s">
        <v>905</v>
      </c>
      <c r="E695" s="158">
        <f t="shared" si="146"/>
        <v>3021.8319600000004</v>
      </c>
      <c r="F695" s="159">
        <f t="shared" si="147"/>
        <v>1944.6577000000002</v>
      </c>
      <c r="G695" s="160">
        <f t="shared" si="148"/>
        <v>1077.17426</v>
      </c>
      <c r="H695" s="166">
        <v>1597.0395000000001</v>
      </c>
      <c r="I695" s="165">
        <v>532.34649999999999</v>
      </c>
      <c r="J695" s="160"/>
      <c r="K695" s="160"/>
      <c r="L695" s="166">
        <v>347.6182</v>
      </c>
      <c r="M695" s="165">
        <v>544.82776000000001</v>
      </c>
      <c r="N695" s="165"/>
      <c r="O695" s="165"/>
      <c r="P695" s="160"/>
      <c r="Q695" s="166"/>
      <c r="R695" s="165"/>
      <c r="S695" s="165"/>
      <c r="T695" s="159"/>
      <c r="U695" s="160"/>
      <c r="V695" s="165"/>
      <c r="W695" s="165"/>
      <c r="X695" s="160"/>
      <c r="Y695" s="166"/>
      <c r="Z695" s="160"/>
      <c r="AA695" s="160"/>
      <c r="AB695" s="165"/>
      <c r="AC695" s="165"/>
      <c r="AD695" s="165"/>
      <c r="AE695" s="165"/>
      <c r="AF695" s="160"/>
      <c r="AG695" s="160"/>
      <c r="AH695" s="160"/>
      <c r="AI695" s="160"/>
      <c r="AJ695" s="161"/>
      <c r="AK695" s="162"/>
      <c r="AL695" s="165"/>
      <c r="AM695" s="166"/>
      <c r="AN695" s="165"/>
      <c r="AO695" s="160"/>
      <c r="AP695" s="162"/>
      <c r="AQ695" s="161"/>
      <c r="AR695" s="162"/>
      <c r="AS695" s="161"/>
      <c r="AT695" s="165"/>
      <c r="AU695" s="166"/>
      <c r="AV695" s="165"/>
      <c r="AW695" s="166"/>
      <c r="AX695" s="165"/>
      <c r="AY695" s="165"/>
      <c r="AZ695" s="165"/>
      <c r="BA695" s="165"/>
      <c r="BB695" s="166"/>
      <c r="BC695" s="165"/>
      <c r="BD695" s="165"/>
      <c r="BE695" s="165"/>
      <c r="BF695" s="165"/>
      <c r="BG695" s="165"/>
      <c r="BH695" s="165"/>
      <c r="BI695" s="165"/>
      <c r="BJ695" s="166"/>
      <c r="BK695" s="165"/>
      <c r="BL695" s="165"/>
      <c r="BM695" s="163"/>
      <c r="BN695" s="165"/>
      <c r="BO695" s="165"/>
      <c r="BP695" s="165"/>
      <c r="BQ695" s="167"/>
    </row>
    <row r="696" spans="1:69" ht="39.950000000000003" customHeight="1" outlineLevel="1" x14ac:dyDescent="0.3">
      <c r="A696" s="17" t="s">
        <v>884</v>
      </c>
      <c r="B696" s="12" t="s">
        <v>902</v>
      </c>
      <c r="C696" s="9" t="s">
        <v>30</v>
      </c>
      <c r="D696" s="66" t="s">
        <v>903</v>
      </c>
      <c r="E696" s="158">
        <f t="shared" si="146"/>
        <v>3152.1260200000002</v>
      </c>
      <c r="F696" s="159">
        <f t="shared" si="147"/>
        <v>38.921400000000006</v>
      </c>
      <c r="G696" s="160">
        <f t="shared" si="148"/>
        <v>3113.20462</v>
      </c>
      <c r="H696" s="166">
        <v>18.47475</v>
      </c>
      <c r="I696" s="165">
        <v>6.1582499999999998</v>
      </c>
      <c r="J696" s="160"/>
      <c r="K696" s="160"/>
      <c r="L696" s="166">
        <v>20.446650000000002</v>
      </c>
      <c r="M696" s="165">
        <v>32.046370000000003</v>
      </c>
      <c r="N696" s="165"/>
      <c r="O696" s="165"/>
      <c r="P696" s="160"/>
      <c r="Q696" s="166"/>
      <c r="R696" s="165"/>
      <c r="S696" s="165"/>
      <c r="T696" s="159"/>
      <c r="U696" s="160"/>
      <c r="V696" s="165"/>
      <c r="W696" s="165"/>
      <c r="X696" s="160"/>
      <c r="Y696" s="166"/>
      <c r="Z696" s="160"/>
      <c r="AA696" s="160"/>
      <c r="AB696" s="165"/>
      <c r="AC696" s="165"/>
      <c r="AD696" s="165"/>
      <c r="AE696" s="165"/>
      <c r="AF696" s="160"/>
      <c r="AG696" s="160"/>
      <c r="AH696" s="160"/>
      <c r="AI696" s="160"/>
      <c r="AJ696" s="161"/>
      <c r="AK696" s="162"/>
      <c r="AL696" s="165"/>
      <c r="AM696" s="166"/>
      <c r="AN696" s="165"/>
      <c r="AO696" s="160"/>
      <c r="AP696" s="162"/>
      <c r="AQ696" s="161"/>
      <c r="AR696" s="162"/>
      <c r="AS696" s="161"/>
      <c r="AT696" s="165"/>
      <c r="AU696" s="166"/>
      <c r="AV696" s="165"/>
      <c r="AW696" s="166"/>
      <c r="AX696" s="165"/>
      <c r="AY696" s="165"/>
      <c r="AZ696" s="165"/>
      <c r="BA696" s="165"/>
      <c r="BB696" s="166"/>
      <c r="BC696" s="165"/>
      <c r="BD696" s="165"/>
      <c r="BE696" s="165"/>
      <c r="BF696" s="165"/>
      <c r="BG696" s="165">
        <v>75</v>
      </c>
      <c r="BH696" s="165">
        <v>3000</v>
      </c>
      <c r="BI696" s="165"/>
      <c r="BJ696" s="166"/>
      <c r="BK696" s="165"/>
      <c r="BL696" s="165"/>
      <c r="BM696" s="163"/>
      <c r="BN696" s="165"/>
      <c r="BO696" s="165"/>
      <c r="BP696" s="165"/>
      <c r="BQ696" s="167"/>
    </row>
    <row r="697" spans="1:69" ht="39.950000000000003" customHeight="1" outlineLevel="1" x14ac:dyDescent="0.3">
      <c r="A697" s="12" t="s">
        <v>884</v>
      </c>
      <c r="B697" s="12" t="s">
        <v>1155</v>
      </c>
      <c r="C697" s="9" t="s">
        <v>30</v>
      </c>
      <c r="D697" s="9" t="s">
        <v>1241</v>
      </c>
      <c r="E697" s="158">
        <f t="shared" si="146"/>
        <v>542.45338000000004</v>
      </c>
      <c r="F697" s="159">
        <f t="shared" si="147"/>
        <v>325.71458000000001</v>
      </c>
      <c r="G697" s="160">
        <f t="shared" si="148"/>
        <v>216.73880000000003</v>
      </c>
      <c r="H697" s="166">
        <v>274.52485999999999</v>
      </c>
      <c r="I697" s="165">
        <v>91.508300000000006</v>
      </c>
      <c r="J697" s="160"/>
      <c r="K697" s="160"/>
      <c r="L697" s="166">
        <v>51.189720000000001</v>
      </c>
      <c r="M697" s="165">
        <v>80.230500000000006</v>
      </c>
      <c r="N697" s="165"/>
      <c r="O697" s="165"/>
      <c r="P697" s="160"/>
      <c r="Q697" s="166"/>
      <c r="R697" s="165"/>
      <c r="S697" s="165"/>
      <c r="T697" s="159"/>
      <c r="U697" s="160"/>
      <c r="V697" s="165"/>
      <c r="W697" s="165"/>
      <c r="X697" s="160"/>
      <c r="Y697" s="166"/>
      <c r="Z697" s="160"/>
      <c r="AA697" s="160"/>
      <c r="AB697" s="165"/>
      <c r="AC697" s="165"/>
      <c r="AD697" s="165"/>
      <c r="AE697" s="165"/>
      <c r="AF697" s="160"/>
      <c r="AG697" s="160"/>
      <c r="AH697" s="160"/>
      <c r="AI697" s="160"/>
      <c r="AJ697" s="161"/>
      <c r="AK697" s="162"/>
      <c r="AL697" s="165"/>
      <c r="AM697" s="166"/>
      <c r="AN697" s="165"/>
      <c r="AO697" s="160"/>
      <c r="AP697" s="162"/>
      <c r="AQ697" s="161"/>
      <c r="AR697" s="162"/>
      <c r="AS697" s="161"/>
      <c r="AT697" s="165"/>
      <c r="AU697" s="166"/>
      <c r="AV697" s="165"/>
      <c r="AW697" s="166"/>
      <c r="AX697" s="165"/>
      <c r="AY697" s="165"/>
      <c r="AZ697" s="165"/>
      <c r="BA697" s="165"/>
      <c r="BB697" s="166"/>
      <c r="BC697" s="165"/>
      <c r="BD697" s="165"/>
      <c r="BE697" s="165"/>
      <c r="BF697" s="165"/>
      <c r="BG697" s="165">
        <v>45</v>
      </c>
      <c r="BH697" s="165"/>
      <c r="BI697" s="165"/>
      <c r="BJ697" s="166"/>
      <c r="BK697" s="165"/>
      <c r="BL697" s="165"/>
      <c r="BM697" s="163"/>
      <c r="BN697" s="165"/>
      <c r="BO697" s="165"/>
      <c r="BP697" s="165"/>
      <c r="BQ697" s="167"/>
    </row>
    <row r="698" spans="1:69" ht="39.950000000000003" customHeight="1" outlineLevel="1" x14ac:dyDescent="0.3">
      <c r="A698" s="17" t="s">
        <v>884</v>
      </c>
      <c r="B698" s="12" t="s">
        <v>906</v>
      </c>
      <c r="C698" s="9" t="s">
        <v>30</v>
      </c>
      <c r="D698" s="68">
        <v>244002727859</v>
      </c>
      <c r="E698" s="158">
        <f t="shared" si="146"/>
        <v>196.60338999999999</v>
      </c>
      <c r="F698" s="159">
        <f t="shared" si="147"/>
        <v>110.88649999999998</v>
      </c>
      <c r="G698" s="160">
        <f t="shared" si="148"/>
        <v>85.716889999999992</v>
      </c>
      <c r="H698" s="166">
        <v>71.376459999999994</v>
      </c>
      <c r="I698" s="165">
        <v>23.792159999999999</v>
      </c>
      <c r="J698" s="160"/>
      <c r="K698" s="160"/>
      <c r="L698" s="166">
        <v>39.510039999999996</v>
      </c>
      <c r="M698" s="165">
        <v>61.924729999999997</v>
      </c>
      <c r="N698" s="165"/>
      <c r="O698" s="165"/>
      <c r="P698" s="160"/>
      <c r="Q698" s="166"/>
      <c r="R698" s="165"/>
      <c r="S698" s="165"/>
      <c r="T698" s="159"/>
      <c r="U698" s="160"/>
      <c r="V698" s="165"/>
      <c r="W698" s="165"/>
      <c r="X698" s="160"/>
      <c r="Y698" s="166"/>
      <c r="Z698" s="160"/>
      <c r="AA698" s="160"/>
      <c r="AB698" s="165"/>
      <c r="AC698" s="165"/>
      <c r="AD698" s="165"/>
      <c r="AE698" s="165"/>
      <c r="AF698" s="160"/>
      <c r="AG698" s="160"/>
      <c r="AH698" s="160"/>
      <c r="AI698" s="160"/>
      <c r="AJ698" s="161"/>
      <c r="AK698" s="162"/>
      <c r="AL698" s="165"/>
      <c r="AM698" s="166"/>
      <c r="AN698" s="165"/>
      <c r="AO698" s="160"/>
      <c r="AP698" s="162"/>
      <c r="AQ698" s="161"/>
      <c r="AR698" s="162"/>
      <c r="AS698" s="161"/>
      <c r="AT698" s="165"/>
      <c r="AU698" s="166"/>
      <c r="AV698" s="165"/>
      <c r="AW698" s="166"/>
      <c r="AX698" s="165"/>
      <c r="AY698" s="165"/>
      <c r="AZ698" s="165"/>
      <c r="BA698" s="165"/>
      <c r="BB698" s="166"/>
      <c r="BC698" s="165"/>
      <c r="BD698" s="165"/>
      <c r="BE698" s="165"/>
      <c r="BF698" s="165"/>
      <c r="BG698" s="165"/>
      <c r="BH698" s="165"/>
      <c r="BI698" s="165"/>
      <c r="BJ698" s="166"/>
      <c r="BK698" s="165"/>
      <c r="BL698" s="165"/>
      <c r="BM698" s="163"/>
      <c r="BN698" s="165"/>
      <c r="BO698" s="165"/>
      <c r="BP698" s="165"/>
      <c r="BQ698" s="167"/>
    </row>
    <row r="699" spans="1:69" ht="39.950000000000003" customHeight="1" outlineLevel="1" x14ac:dyDescent="0.3">
      <c r="A699" s="17" t="s">
        <v>884</v>
      </c>
      <c r="B699" s="12" t="s">
        <v>1578</v>
      </c>
      <c r="C699" s="9" t="s">
        <v>73</v>
      </c>
      <c r="D699" s="68">
        <v>2433000967</v>
      </c>
      <c r="E699" s="158">
        <f t="shared" si="146"/>
        <v>487.5</v>
      </c>
      <c r="F699" s="159">
        <f t="shared" si="147"/>
        <v>463.125</v>
      </c>
      <c r="G699" s="160">
        <f t="shared" si="148"/>
        <v>24.375</v>
      </c>
      <c r="H699" s="166"/>
      <c r="I699" s="165"/>
      <c r="J699" s="160"/>
      <c r="K699" s="160"/>
      <c r="L699" s="166"/>
      <c r="M699" s="165"/>
      <c r="N699" s="165"/>
      <c r="O699" s="165"/>
      <c r="P699" s="160"/>
      <c r="Q699" s="166"/>
      <c r="R699" s="165"/>
      <c r="S699" s="165"/>
      <c r="T699" s="159"/>
      <c r="U699" s="160"/>
      <c r="V699" s="165"/>
      <c r="W699" s="165"/>
      <c r="X699" s="160"/>
      <c r="Y699" s="166"/>
      <c r="Z699" s="160"/>
      <c r="AA699" s="160"/>
      <c r="AB699" s="165"/>
      <c r="AC699" s="165"/>
      <c r="AD699" s="165"/>
      <c r="AE699" s="165"/>
      <c r="AF699" s="160"/>
      <c r="AG699" s="160"/>
      <c r="AH699" s="160"/>
      <c r="AI699" s="160"/>
      <c r="AJ699" s="161"/>
      <c r="AK699" s="162"/>
      <c r="AL699" s="165"/>
      <c r="AM699" s="166"/>
      <c r="AN699" s="165"/>
      <c r="AO699" s="160"/>
      <c r="AP699" s="162"/>
      <c r="AQ699" s="161"/>
      <c r="AR699" s="162">
        <v>463.125</v>
      </c>
      <c r="AS699" s="161">
        <v>24.375</v>
      </c>
      <c r="AT699" s="165"/>
      <c r="AU699" s="166"/>
      <c r="AV699" s="165"/>
      <c r="AW699" s="166"/>
      <c r="AX699" s="165"/>
      <c r="AY699" s="165"/>
      <c r="AZ699" s="165"/>
      <c r="BA699" s="165"/>
      <c r="BB699" s="166"/>
      <c r="BC699" s="165"/>
      <c r="BD699" s="165"/>
      <c r="BE699" s="165"/>
      <c r="BF699" s="165"/>
      <c r="BG699" s="165"/>
      <c r="BH699" s="165"/>
      <c r="BI699" s="165"/>
      <c r="BJ699" s="166"/>
      <c r="BK699" s="165"/>
      <c r="BL699" s="165"/>
      <c r="BM699" s="163"/>
      <c r="BN699" s="165"/>
      <c r="BO699" s="165"/>
      <c r="BP699" s="165"/>
      <c r="BQ699" s="167"/>
    </row>
    <row r="700" spans="1:69" ht="39.950000000000003" customHeight="1" outlineLevel="1" x14ac:dyDescent="0.3">
      <c r="A700" s="17" t="s">
        <v>884</v>
      </c>
      <c r="B700" s="12" t="s">
        <v>885</v>
      </c>
      <c r="C700" s="9" t="s">
        <v>6</v>
      </c>
      <c r="D700" s="66" t="s">
        <v>886</v>
      </c>
      <c r="E700" s="158">
        <f t="shared" si="146"/>
        <v>2268.5471400000001</v>
      </c>
      <c r="F700" s="159">
        <f t="shared" si="147"/>
        <v>188.44089</v>
      </c>
      <c r="G700" s="160">
        <f t="shared" si="148"/>
        <v>2080.1062500000003</v>
      </c>
      <c r="H700" s="166">
        <v>52.65822</v>
      </c>
      <c r="I700" s="165">
        <v>17.55275</v>
      </c>
      <c r="J700" s="160"/>
      <c r="K700" s="160"/>
      <c r="L700" s="166">
        <v>135.78267</v>
      </c>
      <c r="M700" s="165">
        <v>212.81442000000001</v>
      </c>
      <c r="N700" s="165"/>
      <c r="O700" s="165"/>
      <c r="P700" s="160"/>
      <c r="Q700" s="166"/>
      <c r="R700" s="165"/>
      <c r="S700" s="165"/>
      <c r="T700" s="159"/>
      <c r="U700" s="160"/>
      <c r="V700" s="165"/>
      <c r="W700" s="165"/>
      <c r="X700" s="160"/>
      <c r="Y700" s="166"/>
      <c r="Z700" s="160"/>
      <c r="AA700" s="160"/>
      <c r="AB700" s="165"/>
      <c r="AC700" s="165"/>
      <c r="AD700" s="165"/>
      <c r="AE700" s="165"/>
      <c r="AF700" s="160"/>
      <c r="AG700" s="160"/>
      <c r="AH700" s="160"/>
      <c r="AI700" s="160">
        <v>23.632739999999998</v>
      </c>
      <c r="AJ700" s="161"/>
      <c r="AK700" s="162"/>
      <c r="AL700" s="165"/>
      <c r="AM700" s="166"/>
      <c r="AN700" s="165"/>
      <c r="AO700" s="160"/>
      <c r="AP700" s="162"/>
      <c r="AQ700" s="161"/>
      <c r="AR700" s="162"/>
      <c r="AS700" s="161"/>
      <c r="AT700" s="165"/>
      <c r="AU700" s="166"/>
      <c r="AV700" s="165"/>
      <c r="AW700" s="166"/>
      <c r="AX700" s="165"/>
      <c r="AY700" s="165"/>
      <c r="AZ700" s="165"/>
      <c r="BA700" s="165"/>
      <c r="BB700" s="166"/>
      <c r="BC700" s="165"/>
      <c r="BD700" s="165"/>
      <c r="BE700" s="165"/>
      <c r="BF700" s="165">
        <v>1722.3788400000001</v>
      </c>
      <c r="BG700" s="165">
        <v>103.72750000000001</v>
      </c>
      <c r="BH700" s="165"/>
      <c r="BI700" s="165"/>
      <c r="BJ700" s="166"/>
      <c r="BK700" s="165"/>
      <c r="BL700" s="165"/>
      <c r="BM700" s="163"/>
      <c r="BN700" s="165"/>
      <c r="BO700" s="165"/>
      <c r="BP700" s="165"/>
      <c r="BQ700" s="167"/>
    </row>
    <row r="701" spans="1:69" ht="39.950000000000003" customHeight="1" outlineLevel="1" x14ac:dyDescent="0.3">
      <c r="A701" s="15" t="s">
        <v>884</v>
      </c>
      <c r="B701" s="14" t="s">
        <v>887</v>
      </c>
      <c r="C701" s="9" t="s">
        <v>6</v>
      </c>
      <c r="D701" s="66" t="s">
        <v>888</v>
      </c>
      <c r="E701" s="158">
        <f t="shared" si="146"/>
        <v>180.60026999999999</v>
      </c>
      <c r="F701" s="159">
        <f t="shared" si="147"/>
        <v>70.345929999999996</v>
      </c>
      <c r="G701" s="160">
        <f t="shared" si="148"/>
        <v>110.25434</v>
      </c>
      <c r="H701" s="166"/>
      <c r="I701" s="165"/>
      <c r="J701" s="160"/>
      <c r="K701" s="160"/>
      <c r="L701" s="166">
        <v>70.345929999999996</v>
      </c>
      <c r="M701" s="165">
        <v>110.25434</v>
      </c>
      <c r="N701" s="165"/>
      <c r="O701" s="165"/>
      <c r="P701" s="160"/>
      <c r="Q701" s="166"/>
      <c r="R701" s="165"/>
      <c r="S701" s="165"/>
      <c r="T701" s="159"/>
      <c r="U701" s="160"/>
      <c r="V701" s="165"/>
      <c r="W701" s="165"/>
      <c r="X701" s="160"/>
      <c r="Y701" s="166"/>
      <c r="Z701" s="160"/>
      <c r="AA701" s="160"/>
      <c r="AB701" s="165"/>
      <c r="AC701" s="165"/>
      <c r="AD701" s="165"/>
      <c r="AE701" s="165"/>
      <c r="AF701" s="160"/>
      <c r="AG701" s="160"/>
      <c r="AH701" s="160"/>
      <c r="AI701" s="160"/>
      <c r="AJ701" s="161"/>
      <c r="AK701" s="162"/>
      <c r="AL701" s="165"/>
      <c r="AM701" s="166"/>
      <c r="AN701" s="165"/>
      <c r="AO701" s="160"/>
      <c r="AP701" s="162"/>
      <c r="AQ701" s="161"/>
      <c r="AR701" s="162"/>
      <c r="AS701" s="161"/>
      <c r="AT701" s="165"/>
      <c r="AU701" s="166"/>
      <c r="AV701" s="165"/>
      <c r="AW701" s="166"/>
      <c r="AX701" s="165"/>
      <c r="AY701" s="165"/>
      <c r="AZ701" s="165"/>
      <c r="BA701" s="165"/>
      <c r="BB701" s="166"/>
      <c r="BC701" s="165"/>
      <c r="BD701" s="165"/>
      <c r="BE701" s="165"/>
      <c r="BF701" s="165"/>
      <c r="BG701" s="165"/>
      <c r="BH701" s="165"/>
      <c r="BI701" s="165"/>
      <c r="BJ701" s="166"/>
      <c r="BK701" s="165"/>
      <c r="BL701" s="165"/>
      <c r="BM701" s="163"/>
      <c r="BN701" s="165"/>
      <c r="BO701" s="165"/>
      <c r="BP701" s="165"/>
      <c r="BQ701" s="167"/>
    </row>
    <row r="702" spans="1:69" ht="39.950000000000003" customHeight="1" outlineLevel="1" x14ac:dyDescent="0.3">
      <c r="A702" s="15" t="s">
        <v>884</v>
      </c>
      <c r="B702" s="14" t="s">
        <v>889</v>
      </c>
      <c r="C702" s="9" t="s">
        <v>6</v>
      </c>
      <c r="D702" s="66" t="s">
        <v>890</v>
      </c>
      <c r="E702" s="158">
        <f t="shared" si="146"/>
        <v>473.97076000000004</v>
      </c>
      <c r="F702" s="159">
        <f t="shared" si="147"/>
        <v>221.12515000000002</v>
      </c>
      <c r="G702" s="160">
        <f t="shared" si="148"/>
        <v>252.84560999999999</v>
      </c>
      <c r="H702" s="166">
        <v>60.39546</v>
      </c>
      <c r="I702" s="165">
        <v>20.131830000000001</v>
      </c>
      <c r="J702" s="160"/>
      <c r="K702" s="160"/>
      <c r="L702" s="166">
        <v>142.74016</v>
      </c>
      <c r="M702" s="165">
        <v>223.71901</v>
      </c>
      <c r="N702" s="165"/>
      <c r="O702" s="165"/>
      <c r="P702" s="160"/>
      <c r="Q702" s="166"/>
      <c r="R702" s="165"/>
      <c r="S702" s="165"/>
      <c r="T702" s="159"/>
      <c r="U702" s="160"/>
      <c r="V702" s="165"/>
      <c r="W702" s="165"/>
      <c r="X702" s="160"/>
      <c r="Y702" s="166"/>
      <c r="Z702" s="160"/>
      <c r="AA702" s="160"/>
      <c r="AB702" s="165"/>
      <c r="AC702" s="165"/>
      <c r="AD702" s="165"/>
      <c r="AE702" s="165"/>
      <c r="AF702" s="160"/>
      <c r="AG702" s="160"/>
      <c r="AH702" s="160"/>
      <c r="AI702" s="160"/>
      <c r="AJ702" s="161"/>
      <c r="AK702" s="162"/>
      <c r="AL702" s="165"/>
      <c r="AM702" s="166"/>
      <c r="AN702" s="165"/>
      <c r="AO702" s="160"/>
      <c r="AP702" s="162"/>
      <c r="AQ702" s="161"/>
      <c r="AR702" s="162"/>
      <c r="AS702" s="161"/>
      <c r="AT702" s="165"/>
      <c r="AU702" s="166"/>
      <c r="AV702" s="165"/>
      <c r="AW702" s="166">
        <v>17.989529999999998</v>
      </c>
      <c r="AX702" s="165">
        <f>3.62127+5.3735</f>
        <v>8.994769999999999</v>
      </c>
      <c r="AY702" s="165"/>
      <c r="AZ702" s="165"/>
      <c r="BA702" s="165"/>
      <c r="BB702" s="166"/>
      <c r="BC702" s="165"/>
      <c r="BD702" s="165"/>
      <c r="BE702" s="165"/>
      <c r="BF702" s="165"/>
      <c r="BG702" s="165"/>
      <c r="BH702" s="165"/>
      <c r="BI702" s="165"/>
      <c r="BJ702" s="166"/>
      <c r="BK702" s="165"/>
      <c r="BL702" s="165"/>
      <c r="BM702" s="163"/>
      <c r="BN702" s="165"/>
      <c r="BO702" s="165"/>
      <c r="BP702" s="165"/>
      <c r="BQ702" s="167"/>
    </row>
    <row r="703" spans="1:69" ht="39.950000000000003" customHeight="1" outlineLevel="1" x14ac:dyDescent="0.3">
      <c r="A703" s="17" t="s">
        <v>884</v>
      </c>
      <c r="B703" s="12" t="s">
        <v>891</v>
      </c>
      <c r="C703" s="9" t="s">
        <v>6</v>
      </c>
      <c r="D703" s="66" t="s">
        <v>892</v>
      </c>
      <c r="E703" s="158">
        <f t="shared" si="146"/>
        <v>4501.4107699999995</v>
      </c>
      <c r="F703" s="159">
        <f t="shared" si="147"/>
        <v>1038.9184299999999</v>
      </c>
      <c r="G703" s="160">
        <f t="shared" si="148"/>
        <v>3462.4923399999998</v>
      </c>
      <c r="H703" s="166">
        <v>708.19875000000002</v>
      </c>
      <c r="I703" s="165">
        <v>236.06625</v>
      </c>
      <c r="J703" s="160"/>
      <c r="K703" s="160"/>
      <c r="L703" s="166">
        <v>330.71967999999998</v>
      </c>
      <c r="M703" s="165">
        <v>518.34244999999999</v>
      </c>
      <c r="N703" s="165"/>
      <c r="O703" s="165"/>
      <c r="P703" s="160"/>
      <c r="Q703" s="166"/>
      <c r="R703" s="165"/>
      <c r="S703" s="165"/>
      <c r="T703" s="159"/>
      <c r="U703" s="160"/>
      <c r="V703" s="165"/>
      <c r="W703" s="165"/>
      <c r="X703" s="160"/>
      <c r="Y703" s="166"/>
      <c r="Z703" s="160"/>
      <c r="AA703" s="160"/>
      <c r="AB703" s="165"/>
      <c r="AC703" s="165"/>
      <c r="AD703" s="165"/>
      <c r="AE703" s="165"/>
      <c r="AF703" s="160"/>
      <c r="AG703" s="160"/>
      <c r="AH703" s="160"/>
      <c r="AI703" s="160"/>
      <c r="AJ703" s="161"/>
      <c r="AK703" s="162"/>
      <c r="AL703" s="165"/>
      <c r="AM703" s="166"/>
      <c r="AN703" s="165"/>
      <c r="AO703" s="160"/>
      <c r="AP703" s="162"/>
      <c r="AQ703" s="161"/>
      <c r="AR703" s="162"/>
      <c r="AS703" s="161"/>
      <c r="AT703" s="165"/>
      <c r="AU703" s="166"/>
      <c r="AV703" s="165"/>
      <c r="AW703" s="166"/>
      <c r="AX703" s="165"/>
      <c r="AY703" s="165">
        <v>115.02088999999999</v>
      </c>
      <c r="AZ703" s="165"/>
      <c r="BA703" s="165"/>
      <c r="BB703" s="166"/>
      <c r="BC703" s="165"/>
      <c r="BD703" s="165"/>
      <c r="BE703" s="165">
        <v>593.06275000000005</v>
      </c>
      <c r="BF703" s="165"/>
      <c r="BG703" s="165"/>
      <c r="BH703" s="165">
        <v>2000</v>
      </c>
      <c r="BI703" s="165"/>
      <c r="BJ703" s="166"/>
      <c r="BK703" s="165"/>
      <c r="BL703" s="165"/>
      <c r="BM703" s="163"/>
      <c r="BN703" s="165"/>
      <c r="BO703" s="165"/>
      <c r="BP703" s="165"/>
      <c r="BQ703" s="167"/>
    </row>
    <row r="704" spans="1:69" ht="39.950000000000003" customHeight="1" outlineLevel="1" x14ac:dyDescent="0.3">
      <c r="A704" s="12" t="s">
        <v>884</v>
      </c>
      <c r="B704" s="10" t="s">
        <v>1472</v>
      </c>
      <c r="C704" s="9" t="s">
        <v>6</v>
      </c>
      <c r="D704" s="68">
        <v>2433002900</v>
      </c>
      <c r="E704" s="158">
        <f t="shared" si="146"/>
        <v>2455.7783799999997</v>
      </c>
      <c r="F704" s="159">
        <f t="shared" si="147"/>
        <v>1716.2799199999999</v>
      </c>
      <c r="G704" s="160">
        <f t="shared" si="148"/>
        <v>739.49845999999991</v>
      </c>
      <c r="H704" s="166">
        <v>1580.6175000000001</v>
      </c>
      <c r="I704" s="165">
        <v>526.87249999999995</v>
      </c>
      <c r="J704" s="160"/>
      <c r="K704" s="160"/>
      <c r="L704" s="166">
        <v>135.66242</v>
      </c>
      <c r="M704" s="165">
        <v>212.62595999999999</v>
      </c>
      <c r="N704" s="165"/>
      <c r="O704" s="165"/>
      <c r="P704" s="160"/>
      <c r="Q704" s="166"/>
      <c r="R704" s="165"/>
      <c r="S704" s="165"/>
      <c r="T704" s="159"/>
      <c r="U704" s="160"/>
      <c r="V704" s="165"/>
      <c r="W704" s="165"/>
      <c r="X704" s="160"/>
      <c r="Y704" s="166"/>
      <c r="Z704" s="160"/>
      <c r="AA704" s="160"/>
      <c r="AB704" s="165"/>
      <c r="AC704" s="165"/>
      <c r="AD704" s="165"/>
      <c r="AE704" s="165"/>
      <c r="AF704" s="160"/>
      <c r="AG704" s="160"/>
      <c r="AH704" s="160"/>
      <c r="AI704" s="160"/>
      <c r="AJ704" s="161"/>
      <c r="AK704" s="162"/>
      <c r="AL704" s="165"/>
      <c r="AM704" s="166"/>
      <c r="AN704" s="165"/>
      <c r="AO704" s="160"/>
      <c r="AP704" s="162"/>
      <c r="AQ704" s="161"/>
      <c r="AR704" s="162"/>
      <c r="AS704" s="161"/>
      <c r="AT704" s="165"/>
      <c r="AU704" s="166"/>
      <c r="AV704" s="165"/>
      <c r="AW704" s="166"/>
      <c r="AX704" s="165"/>
      <c r="AY704" s="165"/>
      <c r="AZ704" s="165"/>
      <c r="BA704" s="165"/>
      <c r="BB704" s="166"/>
      <c r="BC704" s="165"/>
      <c r="BD704" s="165"/>
      <c r="BE704" s="165"/>
      <c r="BF704" s="165"/>
      <c r="BG704" s="165"/>
      <c r="BH704" s="165"/>
      <c r="BI704" s="165"/>
      <c r="BJ704" s="166"/>
      <c r="BK704" s="165"/>
      <c r="BL704" s="165"/>
      <c r="BM704" s="163"/>
      <c r="BN704" s="165"/>
      <c r="BO704" s="165"/>
      <c r="BP704" s="165"/>
      <c r="BQ704" s="167"/>
    </row>
    <row r="705" spans="1:270" ht="39.950000000000003" customHeight="1" outlineLevel="1" x14ac:dyDescent="0.3">
      <c r="A705" s="17" t="s">
        <v>884</v>
      </c>
      <c r="B705" s="12" t="s">
        <v>893</v>
      </c>
      <c r="C705" s="9" t="s">
        <v>6</v>
      </c>
      <c r="D705" s="66" t="s">
        <v>894</v>
      </c>
      <c r="E705" s="158">
        <f t="shared" si="146"/>
        <v>11739.736100000002</v>
      </c>
      <c r="F705" s="159">
        <f t="shared" si="147"/>
        <v>4273.6036400000003</v>
      </c>
      <c r="G705" s="160">
        <f t="shared" si="148"/>
        <v>7466.1324600000007</v>
      </c>
      <c r="H705" s="166">
        <v>3848.90625</v>
      </c>
      <c r="I705" s="165">
        <v>1282.96875</v>
      </c>
      <c r="J705" s="160"/>
      <c r="K705" s="160"/>
      <c r="L705" s="166">
        <v>325.49495999999999</v>
      </c>
      <c r="M705" s="165">
        <v>510.15365000000003</v>
      </c>
      <c r="N705" s="165"/>
      <c r="O705" s="165"/>
      <c r="P705" s="160"/>
      <c r="Q705" s="166"/>
      <c r="R705" s="165"/>
      <c r="S705" s="165"/>
      <c r="T705" s="159"/>
      <c r="U705" s="160"/>
      <c r="V705" s="165"/>
      <c r="W705" s="165"/>
      <c r="X705" s="160"/>
      <c r="Y705" s="166"/>
      <c r="Z705" s="160"/>
      <c r="AA705" s="160"/>
      <c r="AB705" s="165"/>
      <c r="AC705" s="165"/>
      <c r="AD705" s="165"/>
      <c r="AE705" s="165"/>
      <c r="AF705" s="160"/>
      <c r="AG705" s="160"/>
      <c r="AH705" s="160"/>
      <c r="AI705" s="160"/>
      <c r="AJ705" s="161"/>
      <c r="AK705" s="162"/>
      <c r="AL705" s="165"/>
      <c r="AM705" s="166"/>
      <c r="AN705" s="165"/>
      <c r="AO705" s="160"/>
      <c r="AP705" s="162"/>
      <c r="AQ705" s="161"/>
      <c r="AR705" s="162"/>
      <c r="AS705" s="161"/>
      <c r="AT705" s="165"/>
      <c r="AU705" s="166"/>
      <c r="AV705" s="165"/>
      <c r="AW705" s="166">
        <v>99.202430000000007</v>
      </c>
      <c r="AX705" s="165">
        <f>19.96933+29.63189</f>
        <v>49.601219999999998</v>
      </c>
      <c r="AY705" s="165">
        <v>50.301360000000003</v>
      </c>
      <c r="AZ705" s="165"/>
      <c r="BA705" s="165"/>
      <c r="BB705" s="166"/>
      <c r="BC705" s="165"/>
      <c r="BD705" s="165"/>
      <c r="BE705" s="165">
        <v>985.51886999999999</v>
      </c>
      <c r="BF705" s="165">
        <v>3830.1923000000002</v>
      </c>
      <c r="BG705" s="165">
        <v>581.46100000000001</v>
      </c>
      <c r="BH705" s="165"/>
      <c r="BI705" s="165"/>
      <c r="BJ705" s="166"/>
      <c r="BK705" s="165"/>
      <c r="BL705" s="165"/>
      <c r="BM705" s="163"/>
      <c r="BN705" s="165"/>
      <c r="BO705" s="165">
        <v>175.93530999999999</v>
      </c>
      <c r="BP705" s="165"/>
      <c r="BQ705" s="167"/>
    </row>
    <row r="706" spans="1:270" ht="39.950000000000003" customHeight="1" outlineLevel="1" x14ac:dyDescent="0.3">
      <c r="A706" s="17" t="s">
        <v>884</v>
      </c>
      <c r="B706" s="12" t="s">
        <v>895</v>
      </c>
      <c r="C706" s="9" t="s">
        <v>6</v>
      </c>
      <c r="D706" s="66" t="s">
        <v>896</v>
      </c>
      <c r="E706" s="158">
        <f t="shared" si="146"/>
        <v>4815.0061100000003</v>
      </c>
      <c r="F706" s="159">
        <f t="shared" si="147"/>
        <v>923.12446999999997</v>
      </c>
      <c r="G706" s="160">
        <f t="shared" si="148"/>
        <v>3891.8816400000001</v>
      </c>
      <c r="H706" s="166"/>
      <c r="I706" s="165"/>
      <c r="J706" s="160"/>
      <c r="K706" s="160"/>
      <c r="L706" s="166">
        <v>923.12446999999997</v>
      </c>
      <c r="M706" s="165">
        <v>1446.8282999999999</v>
      </c>
      <c r="N706" s="165"/>
      <c r="O706" s="165"/>
      <c r="P706" s="160"/>
      <c r="Q706" s="166"/>
      <c r="R706" s="165"/>
      <c r="S706" s="165"/>
      <c r="T706" s="159"/>
      <c r="U706" s="160"/>
      <c r="V706" s="165"/>
      <c r="W706" s="165"/>
      <c r="X706" s="160"/>
      <c r="Y706" s="166"/>
      <c r="Z706" s="160"/>
      <c r="AA706" s="160"/>
      <c r="AB706" s="165"/>
      <c r="AC706" s="165"/>
      <c r="AD706" s="165"/>
      <c r="AE706" s="165"/>
      <c r="AF706" s="160"/>
      <c r="AG706" s="160"/>
      <c r="AH706" s="160"/>
      <c r="AI706" s="160"/>
      <c r="AJ706" s="161"/>
      <c r="AK706" s="162"/>
      <c r="AL706" s="165"/>
      <c r="AM706" s="166"/>
      <c r="AN706" s="165"/>
      <c r="AO706" s="160"/>
      <c r="AP706" s="162"/>
      <c r="AQ706" s="161"/>
      <c r="AR706" s="162"/>
      <c r="AS706" s="161"/>
      <c r="AT706" s="165"/>
      <c r="AU706" s="166"/>
      <c r="AV706" s="165"/>
      <c r="AW706" s="166"/>
      <c r="AX706" s="165"/>
      <c r="AY706" s="165"/>
      <c r="AZ706" s="165"/>
      <c r="BA706" s="165"/>
      <c r="BB706" s="166"/>
      <c r="BC706" s="165"/>
      <c r="BD706" s="165"/>
      <c r="BE706" s="165">
        <v>1387.0343</v>
      </c>
      <c r="BF706" s="165">
        <v>351.99745999999999</v>
      </c>
      <c r="BG706" s="165">
        <v>706.02157999999997</v>
      </c>
      <c r="BH706" s="165"/>
      <c r="BI706" s="165"/>
      <c r="BJ706" s="166"/>
      <c r="BK706" s="165"/>
      <c r="BL706" s="165"/>
      <c r="BM706" s="163"/>
      <c r="BN706" s="165"/>
      <c r="BO706" s="165"/>
      <c r="BP706" s="165"/>
      <c r="BQ706" s="167"/>
    </row>
    <row r="707" spans="1:270" ht="39.950000000000003" customHeight="1" outlineLevel="1" x14ac:dyDescent="0.3">
      <c r="A707" s="17" t="s">
        <v>884</v>
      </c>
      <c r="B707" s="12" t="s">
        <v>897</v>
      </c>
      <c r="C707" s="9" t="s">
        <v>6</v>
      </c>
      <c r="D707" s="66" t="s">
        <v>898</v>
      </c>
      <c r="E707" s="158">
        <f t="shared" si="146"/>
        <v>5505.6065600000002</v>
      </c>
      <c r="F707" s="159">
        <f t="shared" si="147"/>
        <v>1371.0674899999999</v>
      </c>
      <c r="G707" s="160">
        <f t="shared" si="148"/>
        <v>4134.5390700000007</v>
      </c>
      <c r="H707" s="166">
        <v>114.61799999999999</v>
      </c>
      <c r="I707" s="165">
        <v>38.206000000000003</v>
      </c>
      <c r="J707" s="160"/>
      <c r="K707" s="160"/>
      <c r="L707" s="166">
        <v>528.76104999999995</v>
      </c>
      <c r="M707" s="165">
        <v>828.73596999999995</v>
      </c>
      <c r="N707" s="165"/>
      <c r="O707" s="165"/>
      <c r="P707" s="160"/>
      <c r="Q707" s="166"/>
      <c r="R707" s="165"/>
      <c r="S707" s="165"/>
      <c r="T707" s="159"/>
      <c r="U707" s="160"/>
      <c r="V707" s="165"/>
      <c r="W707" s="165"/>
      <c r="X707" s="160"/>
      <c r="Y707" s="166">
        <v>602.28300000000002</v>
      </c>
      <c r="Z707" s="160">
        <v>200.761</v>
      </c>
      <c r="AA707" s="160">
        <v>2651.8147600000002</v>
      </c>
      <c r="AB707" s="165"/>
      <c r="AC707" s="165"/>
      <c r="AD707" s="165"/>
      <c r="AE707" s="165"/>
      <c r="AF707" s="160"/>
      <c r="AG707" s="160"/>
      <c r="AH707" s="160"/>
      <c r="AI707" s="160"/>
      <c r="AJ707" s="161"/>
      <c r="AK707" s="162"/>
      <c r="AL707" s="165"/>
      <c r="AM707" s="166"/>
      <c r="AN707" s="165"/>
      <c r="AO707" s="160"/>
      <c r="AP707" s="162"/>
      <c r="AQ707" s="161"/>
      <c r="AR707" s="162"/>
      <c r="AS707" s="161"/>
      <c r="AT707" s="165"/>
      <c r="AU707" s="166"/>
      <c r="AV707" s="165"/>
      <c r="AW707" s="166">
        <v>125.40544</v>
      </c>
      <c r="AX707" s="165">
        <f>12.70341+37.45877</f>
        <v>50.162179999999999</v>
      </c>
      <c r="AY707" s="160">
        <v>364.85915999999997</v>
      </c>
      <c r="AZ707" s="165"/>
      <c r="BA707" s="165"/>
      <c r="BB707" s="166"/>
      <c r="BC707" s="165"/>
      <c r="BD707" s="165"/>
      <c r="BE707" s="165"/>
      <c r="BF707" s="165"/>
      <c r="BG707" s="165"/>
      <c r="BH707" s="165"/>
      <c r="BI707" s="165"/>
      <c r="BJ707" s="166"/>
      <c r="BK707" s="165"/>
      <c r="BL707" s="165"/>
      <c r="BM707" s="163"/>
      <c r="BN707" s="165"/>
      <c r="BO707" s="165"/>
      <c r="BP707" s="165"/>
      <c r="BQ707" s="167"/>
    </row>
    <row r="708" spans="1:270" s="34" customFormat="1" ht="39.950000000000003" customHeight="1" x14ac:dyDescent="0.3">
      <c r="A708" s="118" t="s">
        <v>913</v>
      </c>
      <c r="B708" s="120"/>
      <c r="C708" s="116" t="s">
        <v>80</v>
      </c>
      <c r="D708" s="117"/>
      <c r="E708" s="173">
        <f t="shared" ref="E708:AI708" si="149">SUBTOTAL(9,E684:E707)</f>
        <v>52209.061909999997</v>
      </c>
      <c r="F708" s="173">
        <f t="shared" si="149"/>
        <v>20026.771710000001</v>
      </c>
      <c r="G708" s="173">
        <f t="shared" si="149"/>
        <v>32182.290199999996</v>
      </c>
      <c r="H708" s="173">
        <f t="shared" si="149"/>
        <v>9397.7420600000005</v>
      </c>
      <c r="I708" s="173">
        <f t="shared" si="149"/>
        <v>3132.5807199999999</v>
      </c>
      <c r="J708" s="173">
        <f t="shared" si="149"/>
        <v>0</v>
      </c>
      <c r="K708" s="173">
        <f t="shared" si="149"/>
        <v>0</v>
      </c>
      <c r="L708" s="173">
        <f t="shared" si="149"/>
        <v>3503.7020299999995</v>
      </c>
      <c r="M708" s="173">
        <f t="shared" si="149"/>
        <v>5491.4102599999997</v>
      </c>
      <c r="N708" s="173">
        <f t="shared" si="149"/>
        <v>0</v>
      </c>
      <c r="O708" s="173">
        <f>SUBTOTAL(9,O684:O707)</f>
        <v>0</v>
      </c>
      <c r="P708" s="173">
        <f>SUBTOTAL(9,P684:P707)</f>
        <v>0</v>
      </c>
      <c r="Q708" s="173">
        <f t="shared" si="149"/>
        <v>0</v>
      </c>
      <c r="R708" s="173">
        <f t="shared" si="149"/>
        <v>0</v>
      </c>
      <c r="S708" s="173">
        <f t="shared" si="149"/>
        <v>0</v>
      </c>
      <c r="T708" s="173">
        <f>SUBTOTAL(9,T684:T707)</f>
        <v>0</v>
      </c>
      <c r="U708" s="173">
        <f>SUBTOTAL(9,U684:U707)</f>
        <v>0</v>
      </c>
      <c r="V708" s="173">
        <f t="shared" si="149"/>
        <v>0</v>
      </c>
      <c r="W708" s="173">
        <f t="shared" si="149"/>
        <v>707.19999999999993</v>
      </c>
      <c r="X708" s="173">
        <f>SUBTOTAL(9,X684:X707)</f>
        <v>0</v>
      </c>
      <c r="Y708" s="173">
        <f t="shared" si="149"/>
        <v>719.60522000000003</v>
      </c>
      <c r="Z708" s="173">
        <f t="shared" si="149"/>
        <v>239.86840999999998</v>
      </c>
      <c r="AA708" s="173">
        <f t="shared" si="149"/>
        <v>3183.88976</v>
      </c>
      <c r="AB708" s="173">
        <f t="shared" si="149"/>
        <v>0</v>
      </c>
      <c r="AC708" s="173">
        <f t="shared" si="149"/>
        <v>0</v>
      </c>
      <c r="AD708" s="173">
        <f>SUBTOTAL(9,AD684:AD707)</f>
        <v>0</v>
      </c>
      <c r="AE708" s="173">
        <f t="shared" si="149"/>
        <v>0</v>
      </c>
      <c r="AF708" s="173">
        <f t="shared" si="149"/>
        <v>0</v>
      </c>
      <c r="AG708" s="173">
        <f t="shared" si="149"/>
        <v>0</v>
      </c>
      <c r="AH708" s="173">
        <f t="shared" si="149"/>
        <v>0</v>
      </c>
      <c r="AI708" s="173">
        <f t="shared" si="149"/>
        <v>32.16572</v>
      </c>
      <c r="AJ708" s="173">
        <f t="shared" ref="AJ708:BQ708" si="150">SUBTOTAL(9,AJ684:AJ707)</f>
        <v>0</v>
      </c>
      <c r="AK708" s="173">
        <f t="shared" si="150"/>
        <v>0</v>
      </c>
      <c r="AL708" s="173">
        <f t="shared" si="150"/>
        <v>0</v>
      </c>
      <c r="AM708" s="173">
        <f>SUBTOTAL(9,AM684:AM707)</f>
        <v>5700</v>
      </c>
      <c r="AN708" s="173">
        <f>SUBTOTAL(9,AN684:AN707)</f>
        <v>300</v>
      </c>
      <c r="AO708" s="173">
        <f>SUBTOTAL(9,AO684:AO707)</f>
        <v>0</v>
      </c>
      <c r="AP708" s="173">
        <f t="shared" si="150"/>
        <v>0</v>
      </c>
      <c r="AQ708" s="173">
        <f t="shared" si="150"/>
        <v>0</v>
      </c>
      <c r="AR708" s="173">
        <f t="shared" si="150"/>
        <v>463.125</v>
      </c>
      <c r="AS708" s="173">
        <f t="shared" si="150"/>
        <v>24.375</v>
      </c>
      <c r="AT708" s="173">
        <f>SUBTOTAL(9,AT684:AT707)</f>
        <v>0</v>
      </c>
      <c r="AU708" s="173">
        <f t="shared" si="150"/>
        <v>0</v>
      </c>
      <c r="AV708" s="173">
        <f t="shared" si="150"/>
        <v>0</v>
      </c>
      <c r="AW708" s="173">
        <f t="shared" si="150"/>
        <v>242.59739999999999</v>
      </c>
      <c r="AX708" s="173">
        <f t="shared" si="150"/>
        <v>108.75817000000001</v>
      </c>
      <c r="AY708" s="173">
        <f t="shared" si="150"/>
        <v>530.18140999999991</v>
      </c>
      <c r="AZ708" s="173">
        <f t="shared" si="150"/>
        <v>0</v>
      </c>
      <c r="BA708" s="173">
        <f t="shared" si="150"/>
        <v>0</v>
      </c>
      <c r="BB708" s="173">
        <f t="shared" si="150"/>
        <v>0</v>
      </c>
      <c r="BC708" s="173">
        <f t="shared" si="150"/>
        <v>0</v>
      </c>
      <c r="BD708" s="173">
        <f t="shared" si="150"/>
        <v>0</v>
      </c>
      <c r="BE708" s="173">
        <f t="shared" si="150"/>
        <v>2991.2125500000002</v>
      </c>
      <c r="BF708" s="173">
        <f t="shared" si="150"/>
        <v>7691.9653100000005</v>
      </c>
      <c r="BG708" s="173">
        <f t="shared" si="150"/>
        <v>1511.2100799999998</v>
      </c>
      <c r="BH708" s="173">
        <f t="shared" si="150"/>
        <v>5718.45</v>
      </c>
      <c r="BI708" s="173">
        <f t="shared" si="150"/>
        <v>0</v>
      </c>
      <c r="BJ708" s="173">
        <f t="shared" si="150"/>
        <v>0</v>
      </c>
      <c r="BK708" s="173">
        <f t="shared" si="150"/>
        <v>0</v>
      </c>
      <c r="BL708" s="173">
        <f t="shared" si="150"/>
        <v>0</v>
      </c>
      <c r="BM708" s="174">
        <f>SUBTOTAL(9,BM684:BM707)</f>
        <v>0</v>
      </c>
      <c r="BN708" s="173">
        <f t="shared" si="150"/>
        <v>0</v>
      </c>
      <c r="BO708" s="173">
        <f t="shared" si="150"/>
        <v>519.02280999999994</v>
      </c>
      <c r="BP708" s="173">
        <f t="shared" si="150"/>
        <v>0</v>
      </c>
      <c r="BQ708" s="174">
        <f t="shared" si="150"/>
        <v>0</v>
      </c>
      <c r="BR708" s="40"/>
      <c r="BS708" s="40"/>
      <c r="BT708" s="40"/>
      <c r="BU708" s="40"/>
      <c r="BV708" s="40"/>
      <c r="BW708" s="40"/>
      <c r="BX708" s="40"/>
      <c r="BY708" s="40"/>
      <c r="BZ708" s="40"/>
      <c r="CA708" s="40"/>
      <c r="CB708" s="40"/>
      <c r="CC708" s="40"/>
      <c r="CD708" s="40"/>
      <c r="CE708" s="40"/>
      <c r="CF708" s="40"/>
      <c r="CG708" s="40"/>
      <c r="CH708" s="40"/>
      <c r="CI708" s="40"/>
      <c r="CJ708" s="40"/>
      <c r="CK708" s="40"/>
      <c r="CL708" s="40"/>
      <c r="CM708" s="40"/>
      <c r="CN708" s="40"/>
      <c r="CO708" s="40"/>
      <c r="CP708" s="40"/>
      <c r="CQ708" s="40"/>
      <c r="CR708" s="40"/>
      <c r="CS708" s="40"/>
      <c r="CT708" s="40"/>
      <c r="CU708" s="40"/>
      <c r="CV708" s="40"/>
      <c r="CW708" s="40"/>
      <c r="CX708" s="40"/>
      <c r="CY708" s="40"/>
      <c r="CZ708" s="40"/>
      <c r="DA708" s="40"/>
      <c r="DB708" s="40"/>
      <c r="DC708" s="40"/>
      <c r="DD708" s="40"/>
      <c r="DE708" s="40"/>
      <c r="DF708" s="40"/>
      <c r="DG708" s="40"/>
      <c r="DH708" s="40"/>
      <c r="DI708" s="40"/>
      <c r="DJ708" s="40"/>
      <c r="DK708" s="40"/>
      <c r="DL708" s="40"/>
      <c r="DM708" s="40"/>
      <c r="DN708" s="40"/>
      <c r="DO708" s="40"/>
      <c r="DP708" s="40"/>
      <c r="DQ708" s="40"/>
      <c r="DR708" s="40"/>
      <c r="DS708" s="40"/>
      <c r="DT708" s="40"/>
      <c r="DU708" s="40"/>
      <c r="DV708" s="40"/>
      <c r="DW708" s="40"/>
      <c r="DX708" s="40"/>
      <c r="DY708" s="40"/>
      <c r="DZ708" s="40"/>
      <c r="EA708" s="40"/>
      <c r="EB708" s="40"/>
      <c r="EC708" s="40"/>
      <c r="ED708" s="40"/>
      <c r="EE708" s="40"/>
      <c r="EF708" s="40"/>
      <c r="EG708" s="40"/>
      <c r="EH708" s="40"/>
      <c r="EI708" s="40"/>
      <c r="EJ708" s="40"/>
      <c r="EK708" s="40"/>
      <c r="EL708" s="40"/>
      <c r="EM708" s="40"/>
      <c r="EN708" s="40"/>
      <c r="EO708" s="40"/>
      <c r="EP708" s="40"/>
      <c r="EQ708" s="40"/>
      <c r="ER708" s="40"/>
      <c r="ES708" s="40"/>
      <c r="ET708" s="40"/>
      <c r="EU708" s="40"/>
      <c r="EV708" s="40"/>
      <c r="EW708" s="40"/>
      <c r="EX708" s="40"/>
      <c r="EY708" s="40"/>
      <c r="EZ708" s="40"/>
      <c r="FA708" s="40"/>
      <c r="FB708" s="40"/>
      <c r="FC708" s="40"/>
      <c r="FD708" s="40"/>
      <c r="FE708" s="40"/>
      <c r="FF708" s="40"/>
      <c r="FG708" s="40"/>
      <c r="FH708" s="40"/>
      <c r="FI708" s="40"/>
      <c r="FJ708" s="40"/>
      <c r="FK708" s="40"/>
      <c r="FL708" s="40"/>
      <c r="FM708" s="40"/>
      <c r="FN708" s="40"/>
      <c r="FO708" s="40"/>
      <c r="FP708" s="40"/>
      <c r="FQ708" s="40"/>
      <c r="FR708" s="40"/>
      <c r="FS708" s="40"/>
      <c r="FT708" s="40"/>
      <c r="FU708" s="40"/>
      <c r="FV708" s="40"/>
      <c r="FW708" s="40"/>
      <c r="FX708" s="40"/>
      <c r="FY708" s="40"/>
      <c r="FZ708" s="40"/>
      <c r="GA708" s="40"/>
      <c r="GB708" s="40"/>
      <c r="GC708" s="40"/>
      <c r="GD708" s="40"/>
      <c r="GE708" s="40"/>
      <c r="GF708" s="40"/>
      <c r="GG708" s="40"/>
      <c r="GH708" s="40"/>
      <c r="GI708" s="40"/>
      <c r="GJ708" s="40"/>
      <c r="GK708" s="40"/>
      <c r="GL708" s="40"/>
      <c r="GM708" s="40"/>
      <c r="GN708" s="40"/>
      <c r="GO708" s="40"/>
      <c r="GP708" s="40"/>
      <c r="GQ708" s="40"/>
      <c r="GR708" s="40"/>
      <c r="GS708" s="40"/>
      <c r="GT708" s="40"/>
      <c r="GU708" s="40"/>
      <c r="GV708" s="40"/>
      <c r="GW708" s="40"/>
      <c r="GX708" s="40"/>
      <c r="GY708" s="40"/>
      <c r="GZ708" s="40"/>
      <c r="HA708" s="40"/>
      <c r="HB708" s="40"/>
      <c r="HC708" s="40"/>
      <c r="HD708" s="40"/>
      <c r="HE708" s="40"/>
      <c r="HF708" s="40"/>
      <c r="HG708" s="40"/>
      <c r="HH708" s="40"/>
      <c r="HI708" s="40"/>
      <c r="HJ708" s="40"/>
      <c r="HK708" s="40"/>
      <c r="HL708" s="40"/>
      <c r="HM708" s="40"/>
      <c r="HN708" s="40"/>
      <c r="HO708" s="40"/>
      <c r="HP708" s="40"/>
      <c r="HQ708" s="40"/>
      <c r="HR708" s="40"/>
      <c r="HS708" s="40"/>
      <c r="HT708" s="40"/>
      <c r="HU708" s="40"/>
      <c r="HV708" s="40"/>
      <c r="HW708" s="40"/>
      <c r="HX708" s="40"/>
      <c r="HY708" s="40"/>
      <c r="HZ708" s="40"/>
      <c r="IA708" s="40"/>
      <c r="IB708" s="40"/>
      <c r="IC708" s="40"/>
      <c r="ID708" s="40"/>
      <c r="IE708" s="40"/>
      <c r="IF708" s="40"/>
      <c r="IG708" s="40"/>
      <c r="IH708" s="40"/>
      <c r="II708" s="40"/>
      <c r="IJ708" s="40"/>
      <c r="IK708" s="40"/>
      <c r="IL708" s="40"/>
      <c r="IM708" s="40"/>
      <c r="IN708" s="40"/>
      <c r="IO708" s="40"/>
      <c r="IP708" s="40"/>
      <c r="IQ708" s="40"/>
      <c r="IR708" s="40"/>
      <c r="IS708" s="40"/>
      <c r="IT708" s="40"/>
      <c r="IU708" s="40"/>
      <c r="IV708" s="40"/>
      <c r="IW708" s="40"/>
      <c r="IX708" s="40"/>
      <c r="IY708" s="40"/>
      <c r="IZ708" s="40"/>
      <c r="JA708" s="40"/>
      <c r="JB708" s="40"/>
      <c r="JC708" s="40"/>
      <c r="JD708" s="40"/>
      <c r="JE708" s="40"/>
      <c r="JF708" s="40"/>
      <c r="JG708" s="40"/>
      <c r="JH708" s="40"/>
      <c r="JI708" s="40"/>
      <c r="JJ708" s="40"/>
    </row>
    <row r="709" spans="1:270" ht="39.950000000000003" customHeight="1" outlineLevel="1" x14ac:dyDescent="0.3">
      <c r="A709" s="17" t="s">
        <v>914</v>
      </c>
      <c r="B709" s="12" t="s">
        <v>1504</v>
      </c>
      <c r="C709" s="9" t="s">
        <v>30</v>
      </c>
      <c r="D709" s="66" t="s">
        <v>929</v>
      </c>
      <c r="E709" s="158">
        <f t="shared" ref="E709:E737" si="151">F709+G709</f>
        <v>274.15334000000001</v>
      </c>
      <c r="F709" s="159">
        <f t="shared" ref="F709:F737" si="152">H709+L709+Q709+Y709+T709+AK709+AP709+AM709+AR709+AU709+AW709+BB709+BJ709</f>
        <v>106.78595</v>
      </c>
      <c r="G709" s="160">
        <f t="shared" ref="G709:G737" si="153">I709+J709+K709+M709+N709+R709+S709+V709+W709+AD709+O709+X709+Z709+AA709+AB709+AC709+AE709+AF709+P709+U709+AG709+AH709+AI709+AO709+AJ709+AL709+AQ709+AN709+AS709+AV709+AX709+AY709+AZ709+BA709+BC709+BD709+BE709+BF709+BG709+BH709+BI709+AT709+BK709+BL709+BN709+BO709+BP709+BQ709+BM709</f>
        <v>167.36739</v>
      </c>
      <c r="H709" s="166"/>
      <c r="I709" s="165"/>
      <c r="J709" s="160"/>
      <c r="K709" s="160"/>
      <c r="L709" s="166">
        <v>106.78595</v>
      </c>
      <c r="M709" s="165">
        <v>167.36739</v>
      </c>
      <c r="N709" s="165"/>
      <c r="O709" s="165"/>
      <c r="P709" s="160"/>
      <c r="Q709" s="166"/>
      <c r="R709" s="165"/>
      <c r="S709" s="165"/>
      <c r="T709" s="159"/>
      <c r="U709" s="160"/>
      <c r="V709" s="165"/>
      <c r="W709" s="165"/>
      <c r="X709" s="160"/>
      <c r="Y709" s="166"/>
      <c r="Z709" s="160"/>
      <c r="AA709" s="160"/>
      <c r="AB709" s="165"/>
      <c r="AC709" s="165"/>
      <c r="AD709" s="165"/>
      <c r="AE709" s="165"/>
      <c r="AF709" s="160"/>
      <c r="AG709" s="160"/>
      <c r="AH709" s="160"/>
      <c r="AI709" s="160"/>
      <c r="AJ709" s="161"/>
      <c r="AK709" s="162"/>
      <c r="AL709" s="165"/>
      <c r="AM709" s="166"/>
      <c r="AN709" s="165"/>
      <c r="AO709" s="160"/>
      <c r="AP709" s="162"/>
      <c r="AQ709" s="161"/>
      <c r="AR709" s="162"/>
      <c r="AS709" s="161"/>
      <c r="AT709" s="165"/>
      <c r="AU709" s="166"/>
      <c r="AV709" s="165"/>
      <c r="AW709" s="166"/>
      <c r="AX709" s="165"/>
      <c r="AY709" s="165"/>
      <c r="AZ709" s="165"/>
      <c r="BA709" s="165"/>
      <c r="BB709" s="166"/>
      <c r="BC709" s="165"/>
      <c r="BD709" s="165"/>
      <c r="BE709" s="165"/>
      <c r="BF709" s="165"/>
      <c r="BG709" s="165"/>
      <c r="BH709" s="165"/>
      <c r="BI709" s="165"/>
      <c r="BJ709" s="166"/>
      <c r="BK709" s="165"/>
      <c r="BL709" s="165"/>
      <c r="BM709" s="163"/>
      <c r="BN709" s="165"/>
      <c r="BO709" s="165"/>
      <c r="BP709" s="165"/>
      <c r="BQ709" s="167"/>
    </row>
    <row r="710" spans="1:270" ht="39.950000000000003" customHeight="1" outlineLevel="1" x14ac:dyDescent="0.3">
      <c r="A710" s="17" t="s">
        <v>914</v>
      </c>
      <c r="B710" s="12" t="s">
        <v>1151</v>
      </c>
      <c r="C710" s="9" t="s">
        <v>30</v>
      </c>
      <c r="D710" s="9" t="s">
        <v>1244</v>
      </c>
      <c r="E710" s="158">
        <f t="shared" si="151"/>
        <v>349.13889999999998</v>
      </c>
      <c r="F710" s="159">
        <f t="shared" si="152"/>
        <v>0</v>
      </c>
      <c r="G710" s="160">
        <f t="shared" si="153"/>
        <v>349.13889999999998</v>
      </c>
      <c r="H710" s="166"/>
      <c r="I710" s="165"/>
      <c r="J710" s="160"/>
      <c r="K710" s="160"/>
      <c r="L710" s="166"/>
      <c r="M710" s="165"/>
      <c r="N710" s="165"/>
      <c r="O710" s="165"/>
      <c r="P710" s="160"/>
      <c r="Q710" s="166"/>
      <c r="R710" s="165"/>
      <c r="S710" s="165"/>
      <c r="T710" s="159"/>
      <c r="U710" s="160"/>
      <c r="V710" s="165"/>
      <c r="W710" s="165"/>
      <c r="X710" s="160"/>
      <c r="Y710" s="166"/>
      <c r="Z710" s="160"/>
      <c r="AA710" s="160"/>
      <c r="AB710" s="165"/>
      <c r="AC710" s="165"/>
      <c r="AD710" s="165"/>
      <c r="AE710" s="165"/>
      <c r="AF710" s="160"/>
      <c r="AG710" s="160"/>
      <c r="AH710" s="160"/>
      <c r="AI710" s="160"/>
      <c r="AJ710" s="161"/>
      <c r="AK710" s="162"/>
      <c r="AL710" s="165"/>
      <c r="AM710" s="166"/>
      <c r="AN710" s="165"/>
      <c r="AO710" s="160"/>
      <c r="AP710" s="162"/>
      <c r="AQ710" s="161"/>
      <c r="AR710" s="162"/>
      <c r="AS710" s="161"/>
      <c r="AT710" s="165"/>
      <c r="AU710" s="166"/>
      <c r="AV710" s="165"/>
      <c r="AW710" s="166"/>
      <c r="AX710" s="165"/>
      <c r="AY710" s="165"/>
      <c r="AZ710" s="165"/>
      <c r="BA710" s="165"/>
      <c r="BB710" s="166"/>
      <c r="BC710" s="165"/>
      <c r="BD710" s="165"/>
      <c r="BE710" s="165"/>
      <c r="BF710" s="165"/>
      <c r="BG710" s="165"/>
      <c r="BH710" s="165"/>
      <c r="BI710" s="165"/>
      <c r="BJ710" s="166"/>
      <c r="BK710" s="165"/>
      <c r="BL710" s="165"/>
      <c r="BM710" s="163"/>
      <c r="BN710" s="165"/>
      <c r="BO710" s="165">
        <v>349.13889999999998</v>
      </c>
      <c r="BP710" s="165"/>
      <c r="BQ710" s="167"/>
    </row>
    <row r="711" spans="1:270" ht="62.25" customHeight="1" outlineLevel="1" x14ac:dyDescent="0.3">
      <c r="A711" s="12" t="s">
        <v>914</v>
      </c>
      <c r="B711" s="10" t="s">
        <v>933</v>
      </c>
      <c r="C711" s="9" t="s">
        <v>30</v>
      </c>
      <c r="D711" s="66" t="s">
        <v>934</v>
      </c>
      <c r="E711" s="158">
        <f t="shared" si="151"/>
        <v>3414.21234</v>
      </c>
      <c r="F711" s="159">
        <f t="shared" si="152"/>
        <v>115.41349</v>
      </c>
      <c r="G711" s="160">
        <f t="shared" si="153"/>
        <v>3298.7988500000001</v>
      </c>
      <c r="H711" s="166">
        <v>20.34713</v>
      </c>
      <c r="I711" s="165">
        <v>6.7823900000000004</v>
      </c>
      <c r="J711" s="160"/>
      <c r="K711" s="160"/>
      <c r="L711" s="166">
        <v>95.066360000000003</v>
      </c>
      <c r="M711" s="165">
        <v>148.99909</v>
      </c>
      <c r="N711" s="165"/>
      <c r="O711" s="165"/>
      <c r="P711" s="160"/>
      <c r="Q711" s="166"/>
      <c r="R711" s="165"/>
      <c r="S711" s="165"/>
      <c r="T711" s="159"/>
      <c r="U711" s="160"/>
      <c r="V711" s="165"/>
      <c r="W711" s="165"/>
      <c r="X711" s="160"/>
      <c r="Y711" s="166"/>
      <c r="Z711" s="160"/>
      <c r="AA711" s="160"/>
      <c r="AB711" s="165"/>
      <c r="AC711" s="165"/>
      <c r="AD711" s="165"/>
      <c r="AE711" s="165"/>
      <c r="AF711" s="160"/>
      <c r="AG711" s="160"/>
      <c r="AH711" s="160"/>
      <c r="AI711" s="160"/>
      <c r="AJ711" s="161"/>
      <c r="AK711" s="162"/>
      <c r="AL711" s="165"/>
      <c r="AM711" s="166"/>
      <c r="AN711" s="165"/>
      <c r="AO711" s="160"/>
      <c r="AP711" s="162"/>
      <c r="AQ711" s="161"/>
      <c r="AR711" s="162"/>
      <c r="AS711" s="161"/>
      <c r="AT711" s="165"/>
      <c r="AU711" s="166"/>
      <c r="AV711" s="165"/>
      <c r="AW711" s="166"/>
      <c r="AX711" s="165"/>
      <c r="AY711" s="165"/>
      <c r="AZ711" s="165"/>
      <c r="BA711" s="165"/>
      <c r="BB711" s="166"/>
      <c r="BC711" s="165"/>
      <c r="BD711" s="165"/>
      <c r="BE711" s="165">
        <v>143.01737</v>
      </c>
      <c r="BF711" s="165"/>
      <c r="BG711" s="165"/>
      <c r="BH711" s="165">
        <v>3000</v>
      </c>
      <c r="BI711" s="165"/>
      <c r="BJ711" s="166"/>
      <c r="BK711" s="165"/>
      <c r="BL711" s="165"/>
      <c r="BM711" s="163"/>
      <c r="BN711" s="165"/>
      <c r="BO711" s="165"/>
      <c r="BP711" s="165"/>
      <c r="BQ711" s="167"/>
    </row>
    <row r="712" spans="1:270" ht="39.950000000000003" customHeight="1" outlineLevel="1" x14ac:dyDescent="0.3">
      <c r="A712" s="17" t="s">
        <v>914</v>
      </c>
      <c r="B712" s="12" t="s">
        <v>930</v>
      </c>
      <c r="C712" s="9" t="s">
        <v>30</v>
      </c>
      <c r="D712" s="66" t="s">
        <v>931</v>
      </c>
      <c r="E712" s="158">
        <f t="shared" si="151"/>
        <v>6009.9297300000007</v>
      </c>
      <c r="F712" s="159">
        <f t="shared" si="152"/>
        <v>109.13330000000001</v>
      </c>
      <c r="G712" s="160">
        <f t="shared" si="153"/>
        <v>5900.7964300000003</v>
      </c>
      <c r="H712" s="166"/>
      <c r="I712" s="165"/>
      <c r="J712" s="160"/>
      <c r="K712" s="160"/>
      <c r="L712" s="166">
        <v>109.13330000000001</v>
      </c>
      <c r="M712" s="165">
        <v>171.04642999999999</v>
      </c>
      <c r="N712" s="165"/>
      <c r="O712" s="165"/>
      <c r="P712" s="160"/>
      <c r="Q712" s="166"/>
      <c r="R712" s="165"/>
      <c r="S712" s="165"/>
      <c r="T712" s="159"/>
      <c r="U712" s="160"/>
      <c r="V712" s="165"/>
      <c r="W712" s="165"/>
      <c r="X712" s="160"/>
      <c r="Y712" s="166"/>
      <c r="Z712" s="160"/>
      <c r="AA712" s="160"/>
      <c r="AB712" s="165"/>
      <c r="AC712" s="165"/>
      <c r="AD712" s="165"/>
      <c r="AE712" s="165"/>
      <c r="AF712" s="160"/>
      <c r="AG712" s="160"/>
      <c r="AH712" s="160"/>
      <c r="AI712" s="160"/>
      <c r="AJ712" s="161"/>
      <c r="AK712" s="162"/>
      <c r="AL712" s="165"/>
      <c r="AM712" s="166"/>
      <c r="AN712" s="165"/>
      <c r="AO712" s="160"/>
      <c r="AP712" s="162"/>
      <c r="AQ712" s="161"/>
      <c r="AR712" s="162"/>
      <c r="AS712" s="161"/>
      <c r="AT712" s="165"/>
      <c r="AU712" s="166"/>
      <c r="AV712" s="165"/>
      <c r="AW712" s="166"/>
      <c r="AX712" s="165"/>
      <c r="AY712" s="165"/>
      <c r="AZ712" s="165"/>
      <c r="BA712" s="165"/>
      <c r="BB712" s="166"/>
      <c r="BC712" s="165"/>
      <c r="BD712" s="165"/>
      <c r="BE712" s="165"/>
      <c r="BF712" s="165"/>
      <c r="BG712" s="165"/>
      <c r="BH712" s="165">
        <v>5729.75</v>
      </c>
      <c r="BI712" s="165"/>
      <c r="BJ712" s="166"/>
      <c r="BK712" s="165"/>
      <c r="BL712" s="165"/>
      <c r="BM712" s="163"/>
      <c r="BN712" s="165"/>
      <c r="BO712" s="165"/>
      <c r="BP712" s="165"/>
      <c r="BQ712" s="167"/>
    </row>
    <row r="713" spans="1:270" ht="39.950000000000003" customHeight="1" outlineLevel="1" x14ac:dyDescent="0.3">
      <c r="A713" s="17" t="s">
        <v>914</v>
      </c>
      <c r="B713" s="12" t="s">
        <v>1487</v>
      </c>
      <c r="C713" s="9" t="s">
        <v>30</v>
      </c>
      <c r="D713" s="66">
        <v>243500017707</v>
      </c>
      <c r="E713" s="158">
        <f t="shared" si="151"/>
        <v>3000</v>
      </c>
      <c r="F713" s="159">
        <f t="shared" si="152"/>
        <v>0</v>
      </c>
      <c r="G713" s="160">
        <f t="shared" si="153"/>
        <v>3000</v>
      </c>
      <c r="H713" s="166"/>
      <c r="I713" s="165"/>
      <c r="J713" s="160"/>
      <c r="K713" s="160"/>
      <c r="L713" s="166"/>
      <c r="M713" s="165"/>
      <c r="N713" s="165"/>
      <c r="O713" s="165"/>
      <c r="P713" s="160"/>
      <c r="Q713" s="166"/>
      <c r="R713" s="165"/>
      <c r="S713" s="165"/>
      <c r="T713" s="159"/>
      <c r="U713" s="160"/>
      <c r="V713" s="165"/>
      <c r="W713" s="165"/>
      <c r="X713" s="160"/>
      <c r="Y713" s="166"/>
      <c r="Z713" s="160"/>
      <c r="AA713" s="160"/>
      <c r="AB713" s="165"/>
      <c r="AC713" s="165"/>
      <c r="AD713" s="165"/>
      <c r="AE713" s="165"/>
      <c r="AF713" s="160"/>
      <c r="AG713" s="160"/>
      <c r="AH713" s="160"/>
      <c r="AI713" s="160"/>
      <c r="AJ713" s="161"/>
      <c r="AK713" s="162"/>
      <c r="AL713" s="165"/>
      <c r="AM713" s="166"/>
      <c r="AN713" s="165"/>
      <c r="AO713" s="160"/>
      <c r="AP713" s="162"/>
      <c r="AQ713" s="161"/>
      <c r="AR713" s="162"/>
      <c r="AS713" s="161"/>
      <c r="AT713" s="165"/>
      <c r="AU713" s="166"/>
      <c r="AV713" s="165"/>
      <c r="AW713" s="166"/>
      <c r="AX713" s="165"/>
      <c r="AY713" s="165"/>
      <c r="AZ713" s="165"/>
      <c r="BA713" s="165"/>
      <c r="BB713" s="166"/>
      <c r="BC713" s="165"/>
      <c r="BD713" s="165"/>
      <c r="BE713" s="165"/>
      <c r="BF713" s="165"/>
      <c r="BG713" s="165"/>
      <c r="BH713" s="165">
        <v>3000</v>
      </c>
      <c r="BI713" s="165"/>
      <c r="BJ713" s="166"/>
      <c r="BK713" s="165"/>
      <c r="BL713" s="165"/>
      <c r="BM713" s="163"/>
      <c r="BN713" s="165"/>
      <c r="BO713" s="165"/>
      <c r="BP713" s="165"/>
      <c r="BQ713" s="167"/>
    </row>
    <row r="714" spans="1:270" ht="39.950000000000003" customHeight="1" outlineLevel="1" x14ac:dyDescent="0.3">
      <c r="A714" s="17" t="s">
        <v>914</v>
      </c>
      <c r="B714" s="28" t="s">
        <v>1539</v>
      </c>
      <c r="C714" s="9" t="s">
        <v>30</v>
      </c>
      <c r="D714" s="66">
        <v>243500226355</v>
      </c>
      <c r="E714" s="158">
        <f t="shared" si="151"/>
        <v>3000</v>
      </c>
      <c r="F714" s="159">
        <f t="shared" si="152"/>
        <v>2850</v>
      </c>
      <c r="G714" s="160">
        <f t="shared" si="153"/>
        <v>150</v>
      </c>
      <c r="H714" s="166"/>
      <c r="I714" s="165"/>
      <c r="J714" s="160"/>
      <c r="K714" s="160"/>
      <c r="L714" s="166"/>
      <c r="M714" s="165"/>
      <c r="N714" s="165"/>
      <c r="O714" s="165"/>
      <c r="P714" s="160"/>
      <c r="Q714" s="166"/>
      <c r="R714" s="165"/>
      <c r="S714" s="165"/>
      <c r="T714" s="159"/>
      <c r="U714" s="160"/>
      <c r="V714" s="165"/>
      <c r="W714" s="165"/>
      <c r="X714" s="160"/>
      <c r="Y714" s="166"/>
      <c r="Z714" s="160"/>
      <c r="AA714" s="160"/>
      <c r="AB714" s="165"/>
      <c r="AC714" s="165"/>
      <c r="AD714" s="165"/>
      <c r="AE714" s="165"/>
      <c r="AF714" s="160"/>
      <c r="AG714" s="160"/>
      <c r="AH714" s="160"/>
      <c r="AI714" s="160"/>
      <c r="AJ714" s="161"/>
      <c r="AK714" s="162"/>
      <c r="AL714" s="165"/>
      <c r="AM714" s="166">
        <v>2850</v>
      </c>
      <c r="AN714" s="165">
        <v>150</v>
      </c>
      <c r="AO714" s="160"/>
      <c r="AP714" s="162"/>
      <c r="AQ714" s="161"/>
      <c r="AR714" s="162"/>
      <c r="AS714" s="161"/>
      <c r="AT714" s="165"/>
      <c r="AU714" s="166"/>
      <c r="AV714" s="165"/>
      <c r="AW714" s="166"/>
      <c r="AX714" s="165"/>
      <c r="AY714" s="165"/>
      <c r="AZ714" s="165"/>
      <c r="BA714" s="165"/>
      <c r="BB714" s="166"/>
      <c r="BC714" s="165"/>
      <c r="BD714" s="165"/>
      <c r="BE714" s="165"/>
      <c r="BF714" s="165"/>
      <c r="BG714" s="165"/>
      <c r="BH714" s="165"/>
      <c r="BI714" s="165"/>
      <c r="BJ714" s="166"/>
      <c r="BK714" s="165"/>
      <c r="BL714" s="165"/>
      <c r="BM714" s="163"/>
      <c r="BN714" s="165"/>
      <c r="BO714" s="165"/>
      <c r="BP714" s="165"/>
      <c r="BQ714" s="167"/>
    </row>
    <row r="715" spans="1:270" ht="39.950000000000003" customHeight="1" outlineLevel="1" x14ac:dyDescent="0.3">
      <c r="A715" s="15" t="s">
        <v>914</v>
      </c>
      <c r="B715" s="28" t="s">
        <v>945</v>
      </c>
      <c r="C715" s="9" t="s">
        <v>30</v>
      </c>
      <c r="D715" s="66" t="s">
        <v>946</v>
      </c>
      <c r="E715" s="158">
        <f t="shared" si="151"/>
        <v>1353.3761</v>
      </c>
      <c r="F715" s="159">
        <f t="shared" si="152"/>
        <v>995.63345000000004</v>
      </c>
      <c r="G715" s="160">
        <f t="shared" si="153"/>
        <v>357.74264999999997</v>
      </c>
      <c r="H715" s="166">
        <f>163.72284+810.95016</f>
        <v>974.673</v>
      </c>
      <c r="I715" s="165">
        <f>54.57428+270.31672</f>
        <v>324.89099999999996</v>
      </c>
      <c r="J715" s="160"/>
      <c r="K715" s="160"/>
      <c r="L715" s="166">
        <v>20.960450000000002</v>
      </c>
      <c r="M715" s="165">
        <v>32.851649999999999</v>
      </c>
      <c r="N715" s="165"/>
      <c r="O715" s="165"/>
      <c r="P715" s="160"/>
      <c r="Q715" s="166"/>
      <c r="R715" s="165"/>
      <c r="S715" s="165"/>
      <c r="T715" s="159"/>
      <c r="U715" s="160"/>
      <c r="V715" s="165"/>
      <c r="W715" s="165"/>
      <c r="X715" s="160"/>
      <c r="Y715" s="166"/>
      <c r="Z715" s="160"/>
      <c r="AA715" s="160"/>
      <c r="AB715" s="165"/>
      <c r="AC715" s="165"/>
      <c r="AD715" s="165"/>
      <c r="AE715" s="165"/>
      <c r="AF715" s="160"/>
      <c r="AG715" s="160"/>
      <c r="AH715" s="160"/>
      <c r="AI715" s="160"/>
      <c r="AJ715" s="161"/>
      <c r="AK715" s="162"/>
      <c r="AL715" s="165"/>
      <c r="AM715" s="166"/>
      <c r="AN715" s="165"/>
      <c r="AO715" s="160"/>
      <c r="AP715" s="162"/>
      <c r="AQ715" s="161"/>
      <c r="AR715" s="162"/>
      <c r="AS715" s="161"/>
      <c r="AT715" s="165"/>
      <c r="AU715" s="166"/>
      <c r="AV715" s="165"/>
      <c r="AW715" s="166"/>
      <c r="AX715" s="165"/>
      <c r="AY715" s="165"/>
      <c r="AZ715" s="165"/>
      <c r="BA715" s="165"/>
      <c r="BB715" s="166"/>
      <c r="BC715" s="165"/>
      <c r="BD715" s="165"/>
      <c r="BE715" s="165"/>
      <c r="BF715" s="165"/>
      <c r="BG715" s="165"/>
      <c r="BH715" s="165"/>
      <c r="BI715" s="165"/>
      <c r="BJ715" s="166"/>
      <c r="BK715" s="165"/>
      <c r="BL715" s="165"/>
      <c r="BM715" s="163"/>
      <c r="BN715" s="165"/>
      <c r="BO715" s="165"/>
      <c r="BP715" s="165"/>
      <c r="BQ715" s="167"/>
    </row>
    <row r="716" spans="1:270" ht="39.950000000000003" customHeight="1" outlineLevel="1" x14ac:dyDescent="0.3">
      <c r="A716" s="17" t="s">
        <v>914</v>
      </c>
      <c r="B716" s="12" t="s">
        <v>935</v>
      </c>
      <c r="C716" s="9" t="s">
        <v>30</v>
      </c>
      <c r="D716" s="66" t="s">
        <v>936</v>
      </c>
      <c r="E716" s="158">
        <f t="shared" si="151"/>
        <v>1047.28412</v>
      </c>
      <c r="F716" s="159">
        <f t="shared" si="152"/>
        <v>187.12137999999999</v>
      </c>
      <c r="G716" s="160">
        <f t="shared" si="153"/>
        <v>860.16273999999999</v>
      </c>
      <c r="H716" s="166"/>
      <c r="I716" s="165"/>
      <c r="J716" s="160"/>
      <c r="K716" s="160"/>
      <c r="L716" s="166">
        <v>187.12137999999999</v>
      </c>
      <c r="M716" s="165">
        <v>293.27843999999999</v>
      </c>
      <c r="N716" s="165"/>
      <c r="O716" s="165"/>
      <c r="P716" s="160"/>
      <c r="Q716" s="166"/>
      <c r="R716" s="165"/>
      <c r="S716" s="165"/>
      <c r="T716" s="159"/>
      <c r="U716" s="160"/>
      <c r="V716" s="165"/>
      <c r="W716" s="165"/>
      <c r="X716" s="160"/>
      <c r="Y716" s="166"/>
      <c r="Z716" s="160"/>
      <c r="AA716" s="160"/>
      <c r="AB716" s="165"/>
      <c r="AC716" s="165"/>
      <c r="AD716" s="165"/>
      <c r="AE716" s="165"/>
      <c r="AF716" s="160"/>
      <c r="AG716" s="160"/>
      <c r="AH716" s="160"/>
      <c r="AI716" s="160"/>
      <c r="AJ716" s="161"/>
      <c r="AK716" s="162"/>
      <c r="AL716" s="165"/>
      <c r="AM716" s="166"/>
      <c r="AN716" s="165"/>
      <c r="AO716" s="160"/>
      <c r="AP716" s="162"/>
      <c r="AQ716" s="161"/>
      <c r="AR716" s="162"/>
      <c r="AS716" s="161"/>
      <c r="AT716" s="165"/>
      <c r="AU716" s="166"/>
      <c r="AV716" s="165"/>
      <c r="AW716" s="166"/>
      <c r="AX716" s="165"/>
      <c r="AY716" s="165">
        <v>377.8843</v>
      </c>
      <c r="AZ716" s="165"/>
      <c r="BA716" s="165"/>
      <c r="BB716" s="166"/>
      <c r="BC716" s="165"/>
      <c r="BD716" s="165"/>
      <c r="BE716" s="165"/>
      <c r="BF716" s="165"/>
      <c r="BG716" s="165">
        <v>189</v>
      </c>
      <c r="BH716" s="165"/>
      <c r="BI716" s="165"/>
      <c r="BJ716" s="166"/>
      <c r="BK716" s="165"/>
      <c r="BL716" s="165"/>
      <c r="BM716" s="163"/>
      <c r="BN716" s="165"/>
      <c r="BO716" s="165"/>
      <c r="BP716" s="165"/>
      <c r="BQ716" s="167"/>
    </row>
    <row r="717" spans="1:270" ht="39.950000000000003" customHeight="1" outlineLevel="1" x14ac:dyDescent="0.3">
      <c r="A717" s="17" t="s">
        <v>914</v>
      </c>
      <c r="B717" s="12" t="s">
        <v>937</v>
      </c>
      <c r="C717" s="9" t="s">
        <v>30</v>
      </c>
      <c r="D717" s="66" t="s">
        <v>938</v>
      </c>
      <c r="E717" s="158">
        <f t="shared" si="151"/>
        <v>2130.8383899999999</v>
      </c>
      <c r="F717" s="159">
        <f t="shared" si="152"/>
        <v>224.05068</v>
      </c>
      <c r="G717" s="160">
        <f t="shared" si="153"/>
        <v>1906.7877099999998</v>
      </c>
      <c r="H717" s="166"/>
      <c r="I717" s="165"/>
      <c r="J717" s="160"/>
      <c r="K717" s="160"/>
      <c r="L717" s="166">
        <v>183.84681</v>
      </c>
      <c r="M717" s="165">
        <v>288.14614999999998</v>
      </c>
      <c r="N717" s="165"/>
      <c r="O717" s="165"/>
      <c r="P717" s="160"/>
      <c r="Q717" s="166"/>
      <c r="R717" s="165"/>
      <c r="S717" s="165"/>
      <c r="T717" s="159"/>
      <c r="U717" s="160"/>
      <c r="V717" s="165"/>
      <c r="W717" s="165"/>
      <c r="X717" s="160"/>
      <c r="Y717" s="166"/>
      <c r="Z717" s="160"/>
      <c r="AA717" s="160"/>
      <c r="AB717" s="165"/>
      <c r="AC717" s="165"/>
      <c r="AD717" s="165"/>
      <c r="AE717" s="165"/>
      <c r="AF717" s="160"/>
      <c r="AG717" s="160"/>
      <c r="AH717" s="160"/>
      <c r="AI717" s="160"/>
      <c r="AJ717" s="161"/>
      <c r="AK717" s="162"/>
      <c r="AL717" s="165"/>
      <c r="AM717" s="166"/>
      <c r="AN717" s="165"/>
      <c r="AO717" s="160"/>
      <c r="AP717" s="162"/>
      <c r="AQ717" s="161"/>
      <c r="AR717" s="162"/>
      <c r="AS717" s="161"/>
      <c r="AT717" s="165"/>
      <c r="AU717" s="166"/>
      <c r="AV717" s="165"/>
      <c r="AW717" s="166">
        <v>40.203870000000002</v>
      </c>
      <c r="AX717" s="165">
        <f>8.09296+12.00895</f>
        <v>20.10191</v>
      </c>
      <c r="AY717" s="165"/>
      <c r="AZ717" s="165"/>
      <c r="BA717" s="165"/>
      <c r="BB717" s="166"/>
      <c r="BC717" s="165"/>
      <c r="BD717" s="165"/>
      <c r="BE717" s="165"/>
      <c r="BF717" s="165">
        <v>1402.23965</v>
      </c>
      <c r="BG717" s="165">
        <v>196.3</v>
      </c>
      <c r="BH717" s="165"/>
      <c r="BI717" s="165"/>
      <c r="BJ717" s="166"/>
      <c r="BK717" s="165"/>
      <c r="BL717" s="165"/>
      <c r="BM717" s="163"/>
      <c r="BN717" s="165"/>
      <c r="BO717" s="165"/>
      <c r="BP717" s="165"/>
      <c r="BQ717" s="167"/>
    </row>
    <row r="718" spans="1:270" ht="39.950000000000003" customHeight="1" outlineLevel="1" x14ac:dyDescent="0.3">
      <c r="A718" s="15" t="s">
        <v>1351</v>
      </c>
      <c r="B718" s="28" t="s">
        <v>1349</v>
      </c>
      <c r="C718" s="9" t="s">
        <v>30</v>
      </c>
      <c r="D718" s="9" t="s">
        <v>1350</v>
      </c>
      <c r="E718" s="158">
        <f t="shared" si="151"/>
        <v>2310.5559700000003</v>
      </c>
      <c r="F718" s="159">
        <f t="shared" si="152"/>
        <v>209.38801000000001</v>
      </c>
      <c r="G718" s="160">
        <f t="shared" si="153"/>
        <v>2101.1679600000002</v>
      </c>
      <c r="H718" s="166">
        <v>170.99408</v>
      </c>
      <c r="I718" s="165">
        <v>56.998019999999997</v>
      </c>
      <c r="J718" s="160"/>
      <c r="K718" s="160"/>
      <c r="L718" s="166">
        <v>38.393929999999997</v>
      </c>
      <c r="M718" s="165">
        <v>60.175440000000002</v>
      </c>
      <c r="N718" s="165"/>
      <c r="O718" s="165"/>
      <c r="P718" s="160"/>
      <c r="Q718" s="166"/>
      <c r="R718" s="165"/>
      <c r="S718" s="165"/>
      <c r="T718" s="159"/>
      <c r="U718" s="160"/>
      <c r="V718" s="165"/>
      <c r="W718" s="165"/>
      <c r="X718" s="160"/>
      <c r="Y718" s="166"/>
      <c r="Z718" s="160"/>
      <c r="AA718" s="160"/>
      <c r="AB718" s="165"/>
      <c r="AC718" s="165"/>
      <c r="AD718" s="165"/>
      <c r="AE718" s="165"/>
      <c r="AF718" s="160"/>
      <c r="AG718" s="160"/>
      <c r="AH718" s="160"/>
      <c r="AI718" s="160"/>
      <c r="AJ718" s="161"/>
      <c r="AK718" s="162"/>
      <c r="AL718" s="165"/>
      <c r="AM718" s="166"/>
      <c r="AN718" s="165"/>
      <c r="AO718" s="160"/>
      <c r="AP718" s="162"/>
      <c r="AQ718" s="161"/>
      <c r="AR718" s="162"/>
      <c r="AS718" s="161"/>
      <c r="AT718" s="165"/>
      <c r="AU718" s="166"/>
      <c r="AV718" s="165"/>
      <c r="AW718" s="166"/>
      <c r="AX718" s="165"/>
      <c r="AY718" s="165"/>
      <c r="AZ718" s="165"/>
      <c r="BA718" s="165"/>
      <c r="BB718" s="166"/>
      <c r="BC718" s="165"/>
      <c r="BD718" s="165"/>
      <c r="BE718" s="165"/>
      <c r="BF718" s="165"/>
      <c r="BG718" s="165"/>
      <c r="BH718" s="165">
        <v>1983.9945</v>
      </c>
      <c r="BI718" s="165"/>
      <c r="BJ718" s="166"/>
      <c r="BK718" s="165"/>
      <c r="BL718" s="165"/>
      <c r="BM718" s="163"/>
      <c r="BN718" s="165"/>
      <c r="BO718" s="165"/>
      <c r="BP718" s="165"/>
      <c r="BQ718" s="167"/>
    </row>
    <row r="719" spans="1:270" ht="39.950000000000003" customHeight="1" outlineLevel="1" x14ac:dyDescent="0.3">
      <c r="A719" s="17" t="s">
        <v>914</v>
      </c>
      <c r="B719" s="12" t="s">
        <v>932</v>
      </c>
      <c r="C719" s="9" t="s">
        <v>30</v>
      </c>
      <c r="D719" s="66">
        <v>243502429128</v>
      </c>
      <c r="E719" s="158">
        <f t="shared" si="151"/>
        <v>457.32434000000001</v>
      </c>
      <c r="F719" s="159">
        <f t="shared" si="152"/>
        <v>227.7373</v>
      </c>
      <c r="G719" s="160">
        <f t="shared" si="153"/>
        <v>229.58704</v>
      </c>
      <c r="H719" s="166">
        <v>103.20188</v>
      </c>
      <c r="I719" s="165">
        <v>34.400620000000004</v>
      </c>
      <c r="J719" s="160"/>
      <c r="K719" s="160"/>
      <c r="L719" s="166">
        <v>124.53542</v>
      </c>
      <c r="M719" s="165">
        <v>195.18642</v>
      </c>
      <c r="N719" s="165"/>
      <c r="O719" s="165"/>
      <c r="P719" s="160"/>
      <c r="Q719" s="166"/>
      <c r="R719" s="165"/>
      <c r="S719" s="165"/>
      <c r="T719" s="159"/>
      <c r="U719" s="160"/>
      <c r="V719" s="165"/>
      <c r="W719" s="165"/>
      <c r="X719" s="160"/>
      <c r="Y719" s="166"/>
      <c r="Z719" s="160"/>
      <c r="AA719" s="160"/>
      <c r="AB719" s="165"/>
      <c r="AC719" s="165"/>
      <c r="AD719" s="165"/>
      <c r="AE719" s="165"/>
      <c r="AF719" s="160"/>
      <c r="AG719" s="160"/>
      <c r="AH719" s="160"/>
      <c r="AI719" s="160"/>
      <c r="AJ719" s="161"/>
      <c r="AK719" s="162"/>
      <c r="AL719" s="165"/>
      <c r="AM719" s="166"/>
      <c r="AN719" s="165"/>
      <c r="AO719" s="160"/>
      <c r="AP719" s="162"/>
      <c r="AQ719" s="161"/>
      <c r="AR719" s="162"/>
      <c r="AS719" s="161"/>
      <c r="AT719" s="165"/>
      <c r="AU719" s="166"/>
      <c r="AV719" s="165"/>
      <c r="AW719" s="166"/>
      <c r="AX719" s="165"/>
      <c r="AY719" s="165"/>
      <c r="AZ719" s="165"/>
      <c r="BA719" s="165"/>
      <c r="BB719" s="166"/>
      <c r="BC719" s="165"/>
      <c r="BD719" s="165"/>
      <c r="BE719" s="165"/>
      <c r="BF719" s="165"/>
      <c r="BG719" s="165"/>
      <c r="BH719" s="165"/>
      <c r="BI719" s="165"/>
      <c r="BJ719" s="166"/>
      <c r="BK719" s="165"/>
      <c r="BL719" s="165"/>
      <c r="BM719" s="163"/>
      <c r="BN719" s="165"/>
      <c r="BO719" s="165"/>
      <c r="BP719" s="165"/>
      <c r="BQ719" s="167"/>
    </row>
    <row r="720" spans="1:270" ht="39.950000000000003" customHeight="1" outlineLevel="1" x14ac:dyDescent="0.3">
      <c r="A720" s="17" t="s">
        <v>914</v>
      </c>
      <c r="B720" s="12" t="s">
        <v>1276</v>
      </c>
      <c r="C720" s="9" t="s">
        <v>30</v>
      </c>
      <c r="D720" s="9" t="s">
        <v>1245</v>
      </c>
      <c r="E720" s="158">
        <f t="shared" si="151"/>
        <v>26.891860000000001</v>
      </c>
      <c r="F720" s="159">
        <f t="shared" si="152"/>
        <v>10.4747</v>
      </c>
      <c r="G720" s="160">
        <f t="shared" si="153"/>
        <v>16.417159999999999</v>
      </c>
      <c r="H720" s="166"/>
      <c r="I720" s="165"/>
      <c r="J720" s="160"/>
      <c r="K720" s="160"/>
      <c r="L720" s="166">
        <v>10.4747</v>
      </c>
      <c r="M720" s="165">
        <v>16.417159999999999</v>
      </c>
      <c r="N720" s="165"/>
      <c r="O720" s="165"/>
      <c r="P720" s="160"/>
      <c r="Q720" s="166"/>
      <c r="R720" s="165"/>
      <c r="S720" s="165"/>
      <c r="T720" s="159"/>
      <c r="U720" s="160"/>
      <c r="V720" s="165"/>
      <c r="W720" s="165"/>
      <c r="X720" s="160"/>
      <c r="Y720" s="166"/>
      <c r="Z720" s="160"/>
      <c r="AA720" s="160"/>
      <c r="AB720" s="165"/>
      <c r="AC720" s="165"/>
      <c r="AD720" s="165"/>
      <c r="AE720" s="165"/>
      <c r="AF720" s="160"/>
      <c r="AG720" s="160"/>
      <c r="AH720" s="160"/>
      <c r="AI720" s="160"/>
      <c r="AJ720" s="161"/>
      <c r="AK720" s="162"/>
      <c r="AL720" s="165"/>
      <c r="AM720" s="166"/>
      <c r="AN720" s="165"/>
      <c r="AO720" s="160"/>
      <c r="AP720" s="162"/>
      <c r="AQ720" s="161"/>
      <c r="AR720" s="162"/>
      <c r="AS720" s="161"/>
      <c r="AT720" s="165"/>
      <c r="AU720" s="166"/>
      <c r="AV720" s="165"/>
      <c r="AW720" s="166"/>
      <c r="AX720" s="165"/>
      <c r="AY720" s="165"/>
      <c r="AZ720" s="165"/>
      <c r="BA720" s="165"/>
      <c r="BB720" s="166"/>
      <c r="BC720" s="165"/>
      <c r="BD720" s="165"/>
      <c r="BE720" s="165"/>
      <c r="BF720" s="165"/>
      <c r="BG720" s="165"/>
      <c r="BH720" s="165"/>
      <c r="BI720" s="165"/>
      <c r="BJ720" s="166"/>
      <c r="BK720" s="165"/>
      <c r="BL720" s="165"/>
      <c r="BM720" s="163"/>
      <c r="BN720" s="165"/>
      <c r="BO720" s="165"/>
      <c r="BP720" s="165"/>
      <c r="BQ720" s="167"/>
    </row>
    <row r="721" spans="1:69" ht="39.950000000000003" customHeight="1" outlineLevel="1" x14ac:dyDescent="0.3">
      <c r="A721" s="15" t="s">
        <v>914</v>
      </c>
      <c r="B721" s="28" t="s">
        <v>947</v>
      </c>
      <c r="C721" s="9" t="s">
        <v>30</v>
      </c>
      <c r="D721" s="9" t="s">
        <v>1246</v>
      </c>
      <c r="E721" s="158">
        <f t="shared" si="151"/>
        <v>151.83083999999999</v>
      </c>
      <c r="F721" s="159">
        <f t="shared" si="152"/>
        <v>59.139899999999997</v>
      </c>
      <c r="G721" s="160">
        <f t="shared" si="153"/>
        <v>92.690939999999998</v>
      </c>
      <c r="H721" s="166"/>
      <c r="I721" s="165"/>
      <c r="J721" s="160"/>
      <c r="K721" s="160"/>
      <c r="L721" s="166">
        <v>59.139899999999997</v>
      </c>
      <c r="M721" s="165">
        <v>92.690939999999998</v>
      </c>
      <c r="N721" s="165"/>
      <c r="O721" s="165"/>
      <c r="P721" s="160"/>
      <c r="Q721" s="166"/>
      <c r="R721" s="165"/>
      <c r="S721" s="165"/>
      <c r="T721" s="159"/>
      <c r="U721" s="160"/>
      <c r="V721" s="165"/>
      <c r="W721" s="165"/>
      <c r="X721" s="160"/>
      <c r="Y721" s="166"/>
      <c r="Z721" s="160"/>
      <c r="AA721" s="160"/>
      <c r="AB721" s="165"/>
      <c r="AC721" s="165"/>
      <c r="AD721" s="165"/>
      <c r="AE721" s="165"/>
      <c r="AF721" s="160"/>
      <c r="AG721" s="160"/>
      <c r="AH721" s="160"/>
      <c r="AI721" s="160"/>
      <c r="AJ721" s="161"/>
      <c r="AK721" s="162"/>
      <c r="AL721" s="165"/>
      <c r="AM721" s="166"/>
      <c r="AN721" s="165"/>
      <c r="AO721" s="160"/>
      <c r="AP721" s="162"/>
      <c r="AQ721" s="161"/>
      <c r="AR721" s="162"/>
      <c r="AS721" s="161"/>
      <c r="AT721" s="165"/>
      <c r="AU721" s="166"/>
      <c r="AV721" s="165"/>
      <c r="AW721" s="166"/>
      <c r="AX721" s="165"/>
      <c r="AY721" s="165"/>
      <c r="AZ721" s="165"/>
      <c r="BA721" s="165"/>
      <c r="BB721" s="166"/>
      <c r="BC721" s="165"/>
      <c r="BD721" s="165"/>
      <c r="BE721" s="165"/>
      <c r="BF721" s="165"/>
      <c r="BG721" s="165"/>
      <c r="BH721" s="165"/>
      <c r="BI721" s="165"/>
      <c r="BJ721" s="166"/>
      <c r="BK721" s="165"/>
      <c r="BL721" s="165"/>
      <c r="BM721" s="163"/>
      <c r="BN721" s="165"/>
      <c r="BO721" s="165"/>
      <c r="BP721" s="165"/>
      <c r="BQ721" s="167"/>
    </row>
    <row r="722" spans="1:69" ht="39.950000000000003" customHeight="1" outlineLevel="1" x14ac:dyDescent="0.3">
      <c r="A722" s="17" t="s">
        <v>914</v>
      </c>
      <c r="B722" s="12" t="s">
        <v>939</v>
      </c>
      <c r="C722" s="9" t="s">
        <v>30</v>
      </c>
      <c r="D722" s="66">
        <v>243500319828</v>
      </c>
      <c r="E722" s="158">
        <f t="shared" si="151"/>
        <v>84.592250000000007</v>
      </c>
      <c r="F722" s="159">
        <f t="shared" si="152"/>
        <v>32.949680000000001</v>
      </c>
      <c r="G722" s="160">
        <f t="shared" si="153"/>
        <v>51.642569999999999</v>
      </c>
      <c r="H722" s="166"/>
      <c r="I722" s="165"/>
      <c r="J722" s="160"/>
      <c r="K722" s="160"/>
      <c r="L722" s="166">
        <v>32.949680000000001</v>
      </c>
      <c r="M722" s="165">
        <v>51.642569999999999</v>
      </c>
      <c r="N722" s="165"/>
      <c r="O722" s="165"/>
      <c r="P722" s="160"/>
      <c r="Q722" s="166"/>
      <c r="R722" s="165"/>
      <c r="S722" s="165"/>
      <c r="T722" s="159"/>
      <c r="U722" s="160"/>
      <c r="V722" s="165"/>
      <c r="W722" s="165"/>
      <c r="X722" s="160"/>
      <c r="Y722" s="166"/>
      <c r="Z722" s="160"/>
      <c r="AA722" s="160"/>
      <c r="AB722" s="165"/>
      <c r="AC722" s="165"/>
      <c r="AD722" s="165"/>
      <c r="AE722" s="165"/>
      <c r="AF722" s="160"/>
      <c r="AG722" s="160"/>
      <c r="AH722" s="160"/>
      <c r="AI722" s="160"/>
      <c r="AJ722" s="161"/>
      <c r="AK722" s="162"/>
      <c r="AL722" s="165"/>
      <c r="AM722" s="166"/>
      <c r="AN722" s="165"/>
      <c r="AO722" s="160"/>
      <c r="AP722" s="162"/>
      <c r="AQ722" s="161"/>
      <c r="AR722" s="162"/>
      <c r="AS722" s="161"/>
      <c r="AT722" s="165"/>
      <c r="AU722" s="166"/>
      <c r="AV722" s="165"/>
      <c r="AW722" s="166"/>
      <c r="AX722" s="165"/>
      <c r="AY722" s="165"/>
      <c r="AZ722" s="165"/>
      <c r="BA722" s="165"/>
      <c r="BB722" s="166"/>
      <c r="BC722" s="165"/>
      <c r="BD722" s="165"/>
      <c r="BE722" s="165"/>
      <c r="BF722" s="165"/>
      <c r="BG722" s="165"/>
      <c r="BH722" s="165"/>
      <c r="BI722" s="165"/>
      <c r="BJ722" s="166"/>
      <c r="BK722" s="165"/>
      <c r="BL722" s="165"/>
      <c r="BM722" s="163"/>
      <c r="BN722" s="165"/>
      <c r="BO722" s="165"/>
      <c r="BP722" s="165"/>
      <c r="BQ722" s="167"/>
    </row>
    <row r="723" spans="1:69" ht="39.950000000000003" customHeight="1" outlineLevel="1" x14ac:dyDescent="0.3">
      <c r="A723" s="17" t="s">
        <v>914</v>
      </c>
      <c r="B723" s="12" t="s">
        <v>940</v>
      </c>
      <c r="C723" s="9" t="s">
        <v>30</v>
      </c>
      <c r="D723" s="66" t="s">
        <v>941</v>
      </c>
      <c r="E723" s="158">
        <f t="shared" si="151"/>
        <v>269.66085999999996</v>
      </c>
      <c r="F723" s="159">
        <f t="shared" si="152"/>
        <v>105.03608</v>
      </c>
      <c r="G723" s="160">
        <f t="shared" si="153"/>
        <v>164.62477999999999</v>
      </c>
      <c r="H723" s="166"/>
      <c r="I723" s="165"/>
      <c r="J723" s="160"/>
      <c r="K723" s="160"/>
      <c r="L723" s="166">
        <v>105.03608</v>
      </c>
      <c r="M723" s="165">
        <v>164.62477999999999</v>
      </c>
      <c r="N723" s="165"/>
      <c r="O723" s="165"/>
      <c r="P723" s="160"/>
      <c r="Q723" s="166"/>
      <c r="R723" s="165"/>
      <c r="S723" s="165"/>
      <c r="T723" s="159"/>
      <c r="U723" s="160"/>
      <c r="V723" s="165"/>
      <c r="W723" s="165"/>
      <c r="X723" s="160"/>
      <c r="Y723" s="166"/>
      <c r="Z723" s="160"/>
      <c r="AA723" s="160"/>
      <c r="AB723" s="165"/>
      <c r="AC723" s="165"/>
      <c r="AD723" s="165"/>
      <c r="AE723" s="165"/>
      <c r="AF723" s="160"/>
      <c r="AG723" s="160"/>
      <c r="AH723" s="160"/>
      <c r="AI723" s="160"/>
      <c r="AJ723" s="161"/>
      <c r="AK723" s="162"/>
      <c r="AL723" s="165"/>
      <c r="AM723" s="166"/>
      <c r="AN723" s="165"/>
      <c r="AO723" s="160"/>
      <c r="AP723" s="162"/>
      <c r="AQ723" s="161"/>
      <c r="AR723" s="162"/>
      <c r="AS723" s="161"/>
      <c r="AT723" s="165"/>
      <c r="AU723" s="166"/>
      <c r="AV723" s="165"/>
      <c r="AW723" s="166"/>
      <c r="AX723" s="165"/>
      <c r="AY723" s="165"/>
      <c r="AZ723" s="165"/>
      <c r="BA723" s="165"/>
      <c r="BB723" s="166"/>
      <c r="BC723" s="165"/>
      <c r="BD723" s="165"/>
      <c r="BE723" s="165"/>
      <c r="BF723" s="165"/>
      <c r="BG723" s="165"/>
      <c r="BH723" s="165"/>
      <c r="BI723" s="165"/>
      <c r="BJ723" s="166"/>
      <c r="BK723" s="165"/>
      <c r="BL723" s="165"/>
      <c r="BM723" s="163"/>
      <c r="BN723" s="165"/>
      <c r="BO723" s="165"/>
      <c r="BP723" s="165"/>
      <c r="BQ723" s="167"/>
    </row>
    <row r="724" spans="1:69" ht="39.950000000000003" customHeight="1" outlineLevel="1" x14ac:dyDescent="0.3">
      <c r="A724" s="17" t="s">
        <v>914</v>
      </c>
      <c r="B724" s="12" t="s">
        <v>942</v>
      </c>
      <c r="C724" s="9" t="s">
        <v>30</v>
      </c>
      <c r="D724" s="66" t="s">
        <v>943</v>
      </c>
      <c r="E724" s="158">
        <f t="shared" si="151"/>
        <v>10678.260469999999</v>
      </c>
      <c r="F724" s="159">
        <f t="shared" si="152"/>
        <v>348.48077000000001</v>
      </c>
      <c r="G724" s="160">
        <f t="shared" si="153"/>
        <v>10329.779699999999</v>
      </c>
      <c r="H724" s="166"/>
      <c r="I724" s="165"/>
      <c r="J724" s="160"/>
      <c r="K724" s="160"/>
      <c r="L724" s="166">
        <v>348.48077000000001</v>
      </c>
      <c r="M724" s="165">
        <v>546.17970000000003</v>
      </c>
      <c r="N724" s="165"/>
      <c r="O724" s="165"/>
      <c r="P724" s="160"/>
      <c r="Q724" s="166"/>
      <c r="R724" s="165"/>
      <c r="S724" s="165"/>
      <c r="T724" s="159"/>
      <c r="U724" s="160"/>
      <c r="V724" s="165"/>
      <c r="W724" s="165"/>
      <c r="X724" s="160"/>
      <c r="Y724" s="166"/>
      <c r="Z724" s="160"/>
      <c r="AA724" s="160"/>
      <c r="AB724" s="165"/>
      <c r="AC724" s="165"/>
      <c r="AD724" s="165"/>
      <c r="AE724" s="165"/>
      <c r="AF724" s="160"/>
      <c r="AG724" s="160"/>
      <c r="AH724" s="160"/>
      <c r="AI724" s="160"/>
      <c r="AJ724" s="161"/>
      <c r="AK724" s="162"/>
      <c r="AL724" s="165"/>
      <c r="AM724" s="166"/>
      <c r="AN724" s="165"/>
      <c r="AO724" s="160"/>
      <c r="AP724" s="162"/>
      <c r="AQ724" s="161"/>
      <c r="AR724" s="162"/>
      <c r="AS724" s="161"/>
      <c r="AT724" s="165"/>
      <c r="AU724" s="166"/>
      <c r="AV724" s="165"/>
      <c r="AW724" s="166"/>
      <c r="AX724" s="165"/>
      <c r="AY724" s="165"/>
      <c r="AZ724" s="165"/>
      <c r="BA724" s="165"/>
      <c r="BB724" s="166"/>
      <c r="BC724" s="165"/>
      <c r="BD724" s="165"/>
      <c r="BE724" s="165"/>
      <c r="BF724" s="165">
        <v>3783.6</v>
      </c>
      <c r="BG724" s="165"/>
      <c r="BH724" s="165">
        <v>6000</v>
      </c>
      <c r="BI724" s="165"/>
      <c r="BJ724" s="166"/>
      <c r="BK724" s="165"/>
      <c r="BL724" s="165"/>
      <c r="BM724" s="163"/>
      <c r="BN724" s="165"/>
      <c r="BO724" s="165"/>
      <c r="BP724" s="165"/>
      <c r="BQ724" s="167"/>
    </row>
    <row r="725" spans="1:69" ht="39.950000000000003" customHeight="1" outlineLevel="1" x14ac:dyDescent="0.3">
      <c r="A725" s="17" t="s">
        <v>914</v>
      </c>
      <c r="B725" s="12" t="s">
        <v>1505</v>
      </c>
      <c r="C725" s="9" t="s">
        <v>30</v>
      </c>
      <c r="D725" s="66" t="s">
        <v>944</v>
      </c>
      <c r="E725" s="158">
        <f t="shared" si="151"/>
        <v>3290.0743199999997</v>
      </c>
      <c r="F725" s="159">
        <f t="shared" si="152"/>
        <v>161.01990000000001</v>
      </c>
      <c r="G725" s="160">
        <f t="shared" si="153"/>
        <v>3129.0544199999999</v>
      </c>
      <c r="H725" s="166">
        <v>43.107750000000003</v>
      </c>
      <c r="I725" s="165">
        <v>14.369249999999999</v>
      </c>
      <c r="J725" s="160"/>
      <c r="K725" s="160"/>
      <c r="L725" s="166">
        <v>117.91215</v>
      </c>
      <c r="M725" s="165">
        <v>184.80566999999999</v>
      </c>
      <c r="N725" s="165"/>
      <c r="O725" s="165"/>
      <c r="P725" s="160"/>
      <c r="Q725" s="166"/>
      <c r="R725" s="165"/>
      <c r="S725" s="165"/>
      <c r="T725" s="159"/>
      <c r="U725" s="160"/>
      <c r="V725" s="165"/>
      <c r="W725" s="165"/>
      <c r="X725" s="160"/>
      <c r="Y725" s="166"/>
      <c r="Z725" s="160"/>
      <c r="AA725" s="160"/>
      <c r="AB725" s="165"/>
      <c r="AC725" s="165"/>
      <c r="AD725" s="165"/>
      <c r="AE725" s="165"/>
      <c r="AF725" s="160"/>
      <c r="AG725" s="160"/>
      <c r="AH725" s="160"/>
      <c r="AI725" s="160"/>
      <c r="AJ725" s="161"/>
      <c r="AK725" s="162"/>
      <c r="AL725" s="165"/>
      <c r="AM725" s="166"/>
      <c r="AN725" s="165"/>
      <c r="AO725" s="160"/>
      <c r="AP725" s="162"/>
      <c r="AQ725" s="161"/>
      <c r="AR725" s="162"/>
      <c r="AS725" s="161"/>
      <c r="AT725" s="165"/>
      <c r="AU725" s="166"/>
      <c r="AV725" s="165"/>
      <c r="AW725" s="166"/>
      <c r="AX725" s="165"/>
      <c r="AY725" s="165"/>
      <c r="AZ725" s="165"/>
      <c r="BA725" s="165"/>
      <c r="BB725" s="166"/>
      <c r="BC725" s="165"/>
      <c r="BD725" s="165"/>
      <c r="BE725" s="165"/>
      <c r="BF725" s="165"/>
      <c r="BG725" s="165"/>
      <c r="BH725" s="165">
        <v>2929.8795</v>
      </c>
      <c r="BI725" s="165"/>
      <c r="BJ725" s="166"/>
      <c r="BK725" s="165"/>
      <c r="BL725" s="165"/>
      <c r="BM725" s="163"/>
      <c r="BN725" s="165"/>
      <c r="BO725" s="165"/>
      <c r="BP725" s="165"/>
      <c r="BQ725" s="167"/>
    </row>
    <row r="726" spans="1:69" ht="39.950000000000003" customHeight="1" outlineLevel="1" x14ac:dyDescent="0.3">
      <c r="A726" s="19" t="s">
        <v>1356</v>
      </c>
      <c r="B726" s="12" t="s">
        <v>1398</v>
      </c>
      <c r="C726" s="9" t="s">
        <v>73</v>
      </c>
      <c r="D726" s="66">
        <v>2435006690</v>
      </c>
      <c r="E726" s="158">
        <f t="shared" si="151"/>
        <v>1087.5817400000001</v>
      </c>
      <c r="F726" s="159">
        <f t="shared" si="152"/>
        <v>0</v>
      </c>
      <c r="G726" s="160">
        <f t="shared" si="153"/>
        <v>1087.5817400000001</v>
      </c>
      <c r="H726" s="166"/>
      <c r="I726" s="165"/>
      <c r="J726" s="160"/>
      <c r="K726" s="160"/>
      <c r="L726" s="166"/>
      <c r="M726" s="165"/>
      <c r="N726" s="165"/>
      <c r="O726" s="165"/>
      <c r="P726" s="160"/>
      <c r="Q726" s="166"/>
      <c r="R726" s="165"/>
      <c r="S726" s="165"/>
      <c r="T726" s="159"/>
      <c r="U726" s="160"/>
      <c r="V726" s="165"/>
      <c r="W726" s="165"/>
      <c r="X726" s="160"/>
      <c r="Y726" s="166"/>
      <c r="Z726" s="160"/>
      <c r="AA726" s="160"/>
      <c r="AB726" s="165"/>
      <c r="AC726" s="165"/>
      <c r="AD726" s="165"/>
      <c r="AE726" s="165"/>
      <c r="AF726" s="160"/>
      <c r="AG726" s="160"/>
      <c r="AH726" s="160"/>
      <c r="AI726" s="160">
        <v>1087.5817400000001</v>
      </c>
      <c r="AJ726" s="161"/>
      <c r="AK726" s="162"/>
      <c r="AL726" s="165"/>
      <c r="AM726" s="166"/>
      <c r="AN726" s="165"/>
      <c r="AO726" s="160"/>
      <c r="AP726" s="162"/>
      <c r="AQ726" s="161"/>
      <c r="AR726" s="162"/>
      <c r="AS726" s="161"/>
      <c r="AT726" s="165"/>
      <c r="AU726" s="166"/>
      <c r="AV726" s="165"/>
      <c r="AW726" s="166"/>
      <c r="AX726" s="165"/>
      <c r="AY726" s="165"/>
      <c r="AZ726" s="165"/>
      <c r="BA726" s="165"/>
      <c r="BB726" s="166"/>
      <c r="BC726" s="165"/>
      <c r="BD726" s="165"/>
      <c r="BE726" s="165"/>
      <c r="BF726" s="165"/>
      <c r="BG726" s="165"/>
      <c r="BH726" s="165"/>
      <c r="BI726" s="165"/>
      <c r="BJ726" s="166"/>
      <c r="BK726" s="165"/>
      <c r="BL726" s="165"/>
      <c r="BM726" s="163"/>
      <c r="BN726" s="165"/>
      <c r="BO726" s="165"/>
      <c r="BP726" s="165"/>
      <c r="BQ726" s="167"/>
    </row>
    <row r="727" spans="1:69" ht="39.950000000000003" customHeight="1" outlineLevel="1" x14ac:dyDescent="0.3">
      <c r="A727" s="15" t="s">
        <v>914</v>
      </c>
      <c r="B727" s="14" t="s">
        <v>1110</v>
      </c>
      <c r="C727" s="9" t="s">
        <v>1111</v>
      </c>
      <c r="D727" s="9" t="s">
        <v>1269</v>
      </c>
      <c r="E727" s="158">
        <f t="shared" si="151"/>
        <v>4271.7107299999998</v>
      </c>
      <c r="F727" s="159">
        <f t="shared" si="152"/>
        <v>0</v>
      </c>
      <c r="G727" s="160">
        <f t="shared" si="153"/>
        <v>4271.7107299999998</v>
      </c>
      <c r="H727" s="166"/>
      <c r="I727" s="165"/>
      <c r="J727" s="160"/>
      <c r="K727" s="160"/>
      <c r="L727" s="166"/>
      <c r="M727" s="165"/>
      <c r="N727" s="165"/>
      <c r="O727" s="165"/>
      <c r="P727" s="160"/>
      <c r="Q727" s="166"/>
      <c r="R727" s="165"/>
      <c r="S727" s="165"/>
      <c r="T727" s="159"/>
      <c r="U727" s="160"/>
      <c r="V727" s="165"/>
      <c r="W727" s="165"/>
      <c r="X727" s="160"/>
      <c r="Y727" s="166"/>
      <c r="Z727" s="160"/>
      <c r="AA727" s="160"/>
      <c r="AB727" s="165"/>
      <c r="AC727" s="165"/>
      <c r="AD727" s="165"/>
      <c r="AE727" s="165"/>
      <c r="AF727" s="160"/>
      <c r="AG727" s="160"/>
      <c r="AH727" s="160"/>
      <c r="AI727" s="160">
        <v>2246.7107299999998</v>
      </c>
      <c r="AJ727" s="161"/>
      <c r="AK727" s="162"/>
      <c r="AL727" s="165"/>
      <c r="AM727" s="166"/>
      <c r="AN727" s="165"/>
      <c r="AO727" s="160"/>
      <c r="AP727" s="162"/>
      <c r="AQ727" s="161"/>
      <c r="AR727" s="162"/>
      <c r="AS727" s="161"/>
      <c r="AT727" s="165"/>
      <c r="AU727" s="166"/>
      <c r="AV727" s="165"/>
      <c r="AW727" s="166"/>
      <c r="AX727" s="165"/>
      <c r="AY727" s="165"/>
      <c r="AZ727" s="165"/>
      <c r="BA727" s="165"/>
      <c r="BB727" s="166"/>
      <c r="BC727" s="165"/>
      <c r="BD727" s="165"/>
      <c r="BE727" s="165"/>
      <c r="BF727" s="165">
        <v>2025</v>
      </c>
      <c r="BG727" s="165"/>
      <c r="BH727" s="165"/>
      <c r="BI727" s="165"/>
      <c r="BJ727" s="166"/>
      <c r="BK727" s="165"/>
      <c r="BL727" s="165"/>
      <c r="BM727" s="163"/>
      <c r="BN727" s="165"/>
      <c r="BO727" s="165"/>
      <c r="BP727" s="165"/>
      <c r="BQ727" s="167"/>
    </row>
    <row r="728" spans="1:69" ht="39.950000000000003" customHeight="1" outlineLevel="1" x14ac:dyDescent="0.3">
      <c r="A728" s="15" t="s">
        <v>914</v>
      </c>
      <c r="B728" s="14" t="s">
        <v>1098</v>
      </c>
      <c r="C728" s="9" t="s">
        <v>723</v>
      </c>
      <c r="D728" s="9" t="s">
        <v>1266</v>
      </c>
      <c r="E728" s="158">
        <f t="shared" si="151"/>
        <v>395.98747000000003</v>
      </c>
      <c r="F728" s="159">
        <f t="shared" si="152"/>
        <v>0</v>
      </c>
      <c r="G728" s="160">
        <f t="shared" si="153"/>
        <v>395.98747000000003</v>
      </c>
      <c r="H728" s="166"/>
      <c r="I728" s="165"/>
      <c r="J728" s="160"/>
      <c r="K728" s="160"/>
      <c r="L728" s="166"/>
      <c r="M728" s="165"/>
      <c r="N728" s="165"/>
      <c r="O728" s="165"/>
      <c r="P728" s="160"/>
      <c r="Q728" s="166"/>
      <c r="R728" s="165"/>
      <c r="S728" s="165"/>
      <c r="T728" s="159"/>
      <c r="U728" s="160"/>
      <c r="V728" s="165"/>
      <c r="W728" s="165"/>
      <c r="X728" s="160"/>
      <c r="Y728" s="166"/>
      <c r="Z728" s="160"/>
      <c r="AA728" s="160"/>
      <c r="AB728" s="165"/>
      <c r="AC728" s="165"/>
      <c r="AD728" s="165"/>
      <c r="AE728" s="165"/>
      <c r="AF728" s="160"/>
      <c r="AG728" s="160"/>
      <c r="AH728" s="160"/>
      <c r="AI728" s="160"/>
      <c r="AJ728" s="161"/>
      <c r="AK728" s="162"/>
      <c r="AL728" s="165"/>
      <c r="AM728" s="166"/>
      <c r="AN728" s="165"/>
      <c r="AO728" s="160"/>
      <c r="AP728" s="162"/>
      <c r="AQ728" s="161"/>
      <c r="AR728" s="162"/>
      <c r="AS728" s="161"/>
      <c r="AT728" s="165"/>
      <c r="AU728" s="166"/>
      <c r="AV728" s="165"/>
      <c r="AW728" s="166"/>
      <c r="AX728" s="165"/>
      <c r="AY728" s="165"/>
      <c r="AZ728" s="165"/>
      <c r="BA728" s="165"/>
      <c r="BB728" s="166"/>
      <c r="BC728" s="165"/>
      <c r="BD728" s="165"/>
      <c r="BE728" s="165">
        <v>8.7599699999999991</v>
      </c>
      <c r="BF728" s="165"/>
      <c r="BG728" s="165"/>
      <c r="BH728" s="165"/>
      <c r="BI728" s="165">
        <v>387.22750000000002</v>
      </c>
      <c r="BJ728" s="166"/>
      <c r="BK728" s="165"/>
      <c r="BL728" s="165"/>
      <c r="BM728" s="163"/>
      <c r="BN728" s="165"/>
      <c r="BO728" s="165"/>
      <c r="BP728" s="165"/>
      <c r="BQ728" s="167"/>
    </row>
    <row r="729" spans="1:69" ht="39.950000000000003" customHeight="1" outlineLevel="1" x14ac:dyDescent="0.3">
      <c r="A729" s="17" t="s">
        <v>914</v>
      </c>
      <c r="B729" s="14" t="s">
        <v>918</v>
      </c>
      <c r="C729" s="9" t="s">
        <v>6</v>
      </c>
      <c r="D729" s="9" t="s">
        <v>1242</v>
      </c>
      <c r="E729" s="158">
        <f t="shared" si="151"/>
        <v>35937.822350000002</v>
      </c>
      <c r="F729" s="159">
        <f t="shared" si="152"/>
        <v>0</v>
      </c>
      <c r="G729" s="160">
        <f t="shared" si="153"/>
        <v>35937.822350000002</v>
      </c>
      <c r="H729" s="166"/>
      <c r="I729" s="165"/>
      <c r="J729" s="160"/>
      <c r="K729" s="160"/>
      <c r="L729" s="166"/>
      <c r="M729" s="165"/>
      <c r="N729" s="165"/>
      <c r="O729" s="165"/>
      <c r="P729" s="160"/>
      <c r="Q729" s="166"/>
      <c r="R729" s="165"/>
      <c r="S729" s="165"/>
      <c r="T729" s="159"/>
      <c r="U729" s="160"/>
      <c r="V729" s="165"/>
      <c r="W729" s="165"/>
      <c r="X729" s="160"/>
      <c r="Y729" s="166"/>
      <c r="Z729" s="160"/>
      <c r="AA729" s="160"/>
      <c r="AB729" s="165">
        <v>32736.1175</v>
      </c>
      <c r="AC729" s="165"/>
      <c r="AD729" s="165"/>
      <c r="AE729" s="165"/>
      <c r="AF729" s="160"/>
      <c r="AG729" s="160"/>
      <c r="AH729" s="160"/>
      <c r="AI729" s="160"/>
      <c r="AJ729" s="161"/>
      <c r="AK729" s="162"/>
      <c r="AL729" s="165"/>
      <c r="AM729" s="166"/>
      <c r="AN729" s="165"/>
      <c r="AO729" s="160"/>
      <c r="AP729" s="162"/>
      <c r="AQ729" s="161"/>
      <c r="AR729" s="162"/>
      <c r="AS729" s="161"/>
      <c r="AT729" s="165"/>
      <c r="AU729" s="166"/>
      <c r="AV729" s="165"/>
      <c r="AW729" s="166"/>
      <c r="AX729" s="165"/>
      <c r="AY729" s="165"/>
      <c r="AZ729" s="165"/>
      <c r="BA729" s="165"/>
      <c r="BB729" s="166"/>
      <c r="BC729" s="165"/>
      <c r="BD729" s="165"/>
      <c r="BE729" s="165">
        <v>410.70764000000003</v>
      </c>
      <c r="BF729" s="165">
        <v>2790.99721</v>
      </c>
      <c r="BG729" s="165"/>
      <c r="BH729" s="165"/>
      <c r="BI729" s="165"/>
      <c r="BJ729" s="166"/>
      <c r="BK729" s="165"/>
      <c r="BL729" s="165"/>
      <c r="BM729" s="163"/>
      <c r="BN729" s="165"/>
      <c r="BO729" s="165"/>
      <c r="BP729" s="165"/>
      <c r="BQ729" s="167"/>
    </row>
    <row r="730" spans="1:69" ht="39.950000000000003" customHeight="1" outlineLevel="1" x14ac:dyDescent="0.3">
      <c r="A730" s="11" t="s">
        <v>1356</v>
      </c>
      <c r="B730" s="14" t="s">
        <v>1129</v>
      </c>
      <c r="C730" s="9" t="s">
        <v>6</v>
      </c>
      <c r="D730" s="66" t="s">
        <v>917</v>
      </c>
      <c r="E730" s="158">
        <f t="shared" si="151"/>
        <v>31187.611380000006</v>
      </c>
      <c r="F730" s="159">
        <f t="shared" si="152"/>
        <v>3044.03955</v>
      </c>
      <c r="G730" s="160">
        <f t="shared" si="153"/>
        <v>28143.571830000004</v>
      </c>
      <c r="H730" s="166"/>
      <c r="I730" s="165"/>
      <c r="J730" s="160">
        <v>1440</v>
      </c>
      <c r="K730" s="160"/>
      <c r="L730" s="166">
        <v>3044.03955</v>
      </c>
      <c r="M730" s="165">
        <v>4770.9736700000003</v>
      </c>
      <c r="N730" s="165"/>
      <c r="O730" s="165"/>
      <c r="P730" s="160"/>
      <c r="Q730" s="166"/>
      <c r="R730" s="165"/>
      <c r="S730" s="165"/>
      <c r="T730" s="159"/>
      <c r="U730" s="160"/>
      <c r="V730" s="165"/>
      <c r="W730" s="165"/>
      <c r="X730" s="160"/>
      <c r="Y730" s="166"/>
      <c r="Z730" s="160"/>
      <c r="AA730" s="160">
        <v>15225.44968</v>
      </c>
      <c r="AB730" s="165"/>
      <c r="AC730" s="165"/>
      <c r="AD730" s="165"/>
      <c r="AE730" s="165"/>
      <c r="AF730" s="160"/>
      <c r="AG730" s="160"/>
      <c r="AH730" s="160"/>
      <c r="AI730" s="160">
        <v>3803.2984799999999</v>
      </c>
      <c r="AJ730" s="161"/>
      <c r="AK730" s="162"/>
      <c r="AL730" s="165"/>
      <c r="AM730" s="166"/>
      <c r="AN730" s="165"/>
      <c r="AO730" s="160"/>
      <c r="AP730" s="162"/>
      <c r="AQ730" s="161"/>
      <c r="AR730" s="162"/>
      <c r="AS730" s="161"/>
      <c r="AT730" s="165"/>
      <c r="AU730" s="166"/>
      <c r="AV730" s="165"/>
      <c r="AW730" s="166"/>
      <c r="AX730" s="165"/>
      <c r="AY730" s="165"/>
      <c r="AZ730" s="165"/>
      <c r="BA730" s="165"/>
      <c r="BB730" s="166"/>
      <c r="BC730" s="165"/>
      <c r="BD730" s="165"/>
      <c r="BE730" s="165">
        <v>2451.5660400000002</v>
      </c>
      <c r="BF730" s="165"/>
      <c r="BG730" s="165">
        <v>452.28395999999998</v>
      </c>
      <c r="BH730" s="165"/>
      <c r="BI730" s="165"/>
      <c r="BJ730" s="166"/>
      <c r="BK730" s="165"/>
      <c r="BL730" s="165"/>
      <c r="BM730" s="163"/>
      <c r="BN730" s="165"/>
      <c r="BO730" s="165"/>
      <c r="BP730" s="165"/>
      <c r="BQ730" s="167"/>
    </row>
    <row r="731" spans="1:69" ht="39.950000000000003" customHeight="1" outlineLevel="1" x14ac:dyDescent="0.3">
      <c r="A731" s="19" t="s">
        <v>1356</v>
      </c>
      <c r="B731" s="12" t="s">
        <v>1114</v>
      </c>
      <c r="C731" s="9" t="s">
        <v>6</v>
      </c>
      <c r="D731" s="9" t="s">
        <v>1243</v>
      </c>
      <c r="E731" s="158">
        <f t="shared" si="151"/>
        <v>184.03623999999999</v>
      </c>
      <c r="F731" s="159">
        <f t="shared" si="152"/>
        <v>47.511159999999997</v>
      </c>
      <c r="G731" s="160">
        <f t="shared" si="153"/>
        <v>136.52508</v>
      </c>
      <c r="H731" s="166"/>
      <c r="I731" s="165"/>
      <c r="J731" s="160"/>
      <c r="K731" s="160"/>
      <c r="L731" s="166">
        <v>47.511159999999997</v>
      </c>
      <c r="M731" s="165">
        <v>74.465029999999999</v>
      </c>
      <c r="N731" s="165"/>
      <c r="O731" s="165"/>
      <c r="P731" s="160"/>
      <c r="Q731" s="166"/>
      <c r="R731" s="165"/>
      <c r="S731" s="165"/>
      <c r="T731" s="159"/>
      <c r="U731" s="160"/>
      <c r="V731" s="165"/>
      <c r="W731" s="165"/>
      <c r="X731" s="160"/>
      <c r="Y731" s="166"/>
      <c r="Z731" s="160"/>
      <c r="AA731" s="160"/>
      <c r="AB731" s="165"/>
      <c r="AC731" s="165"/>
      <c r="AD731" s="165"/>
      <c r="AE731" s="165"/>
      <c r="AF731" s="160"/>
      <c r="AG731" s="160"/>
      <c r="AH731" s="160"/>
      <c r="AI731" s="160"/>
      <c r="AJ731" s="161"/>
      <c r="AK731" s="162"/>
      <c r="AL731" s="165"/>
      <c r="AM731" s="166"/>
      <c r="AN731" s="165"/>
      <c r="AO731" s="160"/>
      <c r="AP731" s="162"/>
      <c r="AQ731" s="161"/>
      <c r="AR731" s="162"/>
      <c r="AS731" s="161"/>
      <c r="AT731" s="165"/>
      <c r="AU731" s="166"/>
      <c r="AV731" s="165"/>
      <c r="AW731" s="166"/>
      <c r="AX731" s="165"/>
      <c r="AY731" s="165"/>
      <c r="AZ731" s="165"/>
      <c r="BA731" s="165"/>
      <c r="BB731" s="166"/>
      <c r="BC731" s="165"/>
      <c r="BD731" s="165"/>
      <c r="BE731" s="165">
        <v>62.060049999999997</v>
      </c>
      <c r="BF731" s="165"/>
      <c r="BG731" s="165"/>
      <c r="BH731" s="165"/>
      <c r="BI731" s="165"/>
      <c r="BJ731" s="166"/>
      <c r="BK731" s="165"/>
      <c r="BL731" s="165"/>
      <c r="BM731" s="163"/>
      <c r="BN731" s="165"/>
      <c r="BO731" s="165"/>
      <c r="BP731" s="165"/>
      <c r="BQ731" s="167"/>
    </row>
    <row r="732" spans="1:69" ht="39.950000000000003" customHeight="1" outlineLevel="1" x14ac:dyDescent="0.3">
      <c r="A732" s="19" t="s">
        <v>1356</v>
      </c>
      <c r="B732" s="12" t="s">
        <v>927</v>
      </c>
      <c r="C732" s="9" t="s">
        <v>6</v>
      </c>
      <c r="D732" s="66" t="s">
        <v>928</v>
      </c>
      <c r="E732" s="158">
        <f t="shared" si="151"/>
        <v>55828.997669999997</v>
      </c>
      <c r="F732" s="159">
        <f t="shared" si="152"/>
        <v>17393.591219999998</v>
      </c>
      <c r="G732" s="160">
        <f t="shared" si="153"/>
        <v>38435.406450000002</v>
      </c>
      <c r="H732" s="166">
        <v>1907.94785</v>
      </c>
      <c r="I732" s="165">
        <v>635.98261000000002</v>
      </c>
      <c r="J732" s="160"/>
      <c r="K732" s="160"/>
      <c r="L732" s="166">
        <f>459.00905+209.67735</f>
        <v>668.68640000000005</v>
      </c>
      <c r="M732" s="165">
        <f>719.41249+328.6308</f>
        <v>1048.0432900000001</v>
      </c>
      <c r="N732" s="165"/>
      <c r="O732" s="165"/>
      <c r="P732" s="160">
        <v>134.19373999999999</v>
      </c>
      <c r="Q732" s="166"/>
      <c r="R732" s="165"/>
      <c r="S732" s="165"/>
      <c r="T732" s="159">
        <v>611.16498999999999</v>
      </c>
      <c r="U732" s="160">
        <v>203.72166000000001</v>
      </c>
      <c r="V732" s="165"/>
      <c r="W732" s="165"/>
      <c r="X732" s="160"/>
      <c r="Y732" s="166"/>
      <c r="Z732" s="160"/>
      <c r="AA732" s="160"/>
      <c r="AB732" s="165"/>
      <c r="AC732" s="165"/>
      <c r="AD732" s="165"/>
      <c r="AE732" s="165"/>
      <c r="AF732" s="160"/>
      <c r="AG732" s="160"/>
      <c r="AH732" s="160"/>
      <c r="AI732" s="160">
        <v>2081.0764199999999</v>
      </c>
      <c r="AJ732" s="161"/>
      <c r="AK732" s="162"/>
      <c r="AL732" s="165"/>
      <c r="AM732" s="166"/>
      <c r="AN732" s="165"/>
      <c r="AO732" s="160"/>
      <c r="AP732" s="162"/>
      <c r="AQ732" s="161"/>
      <c r="AR732" s="162"/>
      <c r="AS732" s="161"/>
      <c r="AT732" s="165"/>
      <c r="AU732" s="166"/>
      <c r="AV732" s="165"/>
      <c r="AW732" s="166">
        <f>8402.25557+5803.53641</f>
        <v>14205.791979999998</v>
      </c>
      <c r="AX732" s="165">
        <f>1691.36313+1168.24433+2509.76465+1733.52387</f>
        <v>7102.8959800000002</v>
      </c>
      <c r="AY732" s="165"/>
      <c r="AZ732" s="165">
        <v>16039.09139</v>
      </c>
      <c r="BA732" s="165"/>
      <c r="BB732" s="166"/>
      <c r="BC732" s="165"/>
      <c r="BD732" s="165"/>
      <c r="BE732" s="165">
        <v>4518.4888300000002</v>
      </c>
      <c r="BF732" s="165">
        <v>936.15255000000002</v>
      </c>
      <c r="BG732" s="165">
        <v>1077.7753399999999</v>
      </c>
      <c r="BH732" s="165"/>
      <c r="BI732" s="165"/>
      <c r="BJ732" s="166"/>
      <c r="BK732" s="165"/>
      <c r="BL732" s="165"/>
      <c r="BM732" s="163"/>
      <c r="BN732" s="165"/>
      <c r="BO732" s="165">
        <v>4657.9846399999997</v>
      </c>
      <c r="BP732" s="165"/>
      <c r="BQ732" s="167"/>
    </row>
    <row r="733" spans="1:69" ht="39.950000000000003" customHeight="1" outlineLevel="1" x14ac:dyDescent="0.3">
      <c r="A733" s="15" t="s">
        <v>914</v>
      </c>
      <c r="B733" s="14" t="s">
        <v>925</v>
      </c>
      <c r="C733" s="9" t="s">
        <v>6</v>
      </c>
      <c r="D733" s="66" t="s">
        <v>926</v>
      </c>
      <c r="E733" s="158">
        <f t="shared" si="151"/>
        <v>31080.226229999997</v>
      </c>
      <c r="F733" s="159">
        <f t="shared" si="152"/>
        <v>6906.6743799999995</v>
      </c>
      <c r="G733" s="160">
        <f t="shared" si="153"/>
        <v>24173.551849999996</v>
      </c>
      <c r="H733" s="166">
        <v>3689.3325</v>
      </c>
      <c r="I733" s="165">
        <v>1229.7774999999999</v>
      </c>
      <c r="J733" s="160"/>
      <c r="K733" s="160"/>
      <c r="L733" s="166">
        <f>348.12795+172.46125+368.72476+252.09298+1722.74128</f>
        <v>2864.14822</v>
      </c>
      <c r="M733" s="165">
        <f>545.62672+270.30137+577.90843+395.10952+2700.08098</f>
        <v>4489.0270199999995</v>
      </c>
      <c r="N733" s="165"/>
      <c r="O733" s="165"/>
      <c r="P733" s="160"/>
      <c r="Q733" s="166"/>
      <c r="R733" s="165"/>
      <c r="S733" s="165"/>
      <c r="T733" s="159"/>
      <c r="U733" s="160"/>
      <c r="V733" s="165"/>
      <c r="W733" s="165"/>
      <c r="X733" s="160"/>
      <c r="Y733" s="166">
        <v>353.19366000000002</v>
      </c>
      <c r="Z733" s="160">
        <v>117.73121999999999</v>
      </c>
      <c r="AA733" s="160">
        <v>1186.9748</v>
      </c>
      <c r="AB733" s="165"/>
      <c r="AC733" s="165"/>
      <c r="AD733" s="165"/>
      <c r="AE733" s="165"/>
      <c r="AF733" s="160"/>
      <c r="AG733" s="160"/>
      <c r="AH733" s="160"/>
      <c r="AI733" s="160"/>
      <c r="AJ733" s="161"/>
      <c r="AK733" s="162"/>
      <c r="AL733" s="165"/>
      <c r="AM733" s="166"/>
      <c r="AN733" s="165"/>
      <c r="AO733" s="160"/>
      <c r="AP733" s="162"/>
      <c r="AQ733" s="161"/>
      <c r="AR733" s="162"/>
      <c r="AS733" s="161"/>
      <c r="AT733" s="165"/>
      <c r="AU733" s="166"/>
      <c r="AV733" s="165"/>
      <c r="AW733" s="166"/>
      <c r="AX733" s="165"/>
      <c r="AY733" s="160">
        <v>3172.3476300000002</v>
      </c>
      <c r="AZ733" s="165"/>
      <c r="BA733" s="165"/>
      <c r="BB733" s="166"/>
      <c r="BC733" s="165"/>
      <c r="BD733" s="165"/>
      <c r="BE733" s="165">
        <v>4850.5877399999999</v>
      </c>
      <c r="BF733" s="165">
        <v>9127.1059399999995</v>
      </c>
      <c r="BG733" s="165"/>
      <c r="BH733" s="165"/>
      <c r="BI733" s="165"/>
      <c r="BJ733" s="166"/>
      <c r="BK733" s="165"/>
      <c r="BL733" s="165"/>
      <c r="BM733" s="163"/>
      <c r="BN733" s="165"/>
      <c r="BO733" s="165"/>
      <c r="BP733" s="165"/>
      <c r="BQ733" s="167"/>
    </row>
    <row r="734" spans="1:69" ht="39.950000000000003" customHeight="1" outlineLevel="1" x14ac:dyDescent="0.3">
      <c r="A734" s="17" t="s">
        <v>914</v>
      </c>
      <c r="B734" s="14" t="s">
        <v>919</v>
      </c>
      <c r="C734" s="9" t="s">
        <v>6</v>
      </c>
      <c r="D734" s="66" t="s">
        <v>920</v>
      </c>
      <c r="E734" s="158">
        <f t="shared" si="151"/>
        <v>36953.765830000004</v>
      </c>
      <c r="F734" s="159">
        <f t="shared" si="152"/>
        <v>4692.6004300000004</v>
      </c>
      <c r="G734" s="160">
        <f t="shared" si="153"/>
        <v>32261.165400000002</v>
      </c>
      <c r="H734" s="166">
        <v>127.43289</v>
      </c>
      <c r="I734" s="165">
        <v>42.477640000000001</v>
      </c>
      <c r="J734" s="160"/>
      <c r="K734" s="160"/>
      <c r="L734" s="166">
        <v>1421.6370400000001</v>
      </c>
      <c r="M734" s="165">
        <v>2228.1552999999999</v>
      </c>
      <c r="N734" s="165"/>
      <c r="O734" s="165"/>
      <c r="P734" s="160"/>
      <c r="Q734" s="166"/>
      <c r="R734" s="165"/>
      <c r="S734" s="165"/>
      <c r="T734" s="159"/>
      <c r="U734" s="160"/>
      <c r="V734" s="165"/>
      <c r="W734" s="165"/>
      <c r="X734" s="160"/>
      <c r="Y734" s="166">
        <v>3143.5304999999998</v>
      </c>
      <c r="Z734" s="160">
        <v>1047.8434999999999</v>
      </c>
      <c r="AA734" s="160">
        <v>14723.331700000001</v>
      </c>
      <c r="AB734" s="165"/>
      <c r="AC734" s="165"/>
      <c r="AD734" s="165"/>
      <c r="AE734" s="165"/>
      <c r="AF734" s="160"/>
      <c r="AG734" s="160"/>
      <c r="AH734" s="160"/>
      <c r="AI734" s="160"/>
      <c r="AJ734" s="161"/>
      <c r="AK734" s="162"/>
      <c r="AL734" s="165"/>
      <c r="AM734" s="166"/>
      <c r="AN734" s="165"/>
      <c r="AO734" s="160"/>
      <c r="AP734" s="162"/>
      <c r="AQ734" s="161"/>
      <c r="AR734" s="162"/>
      <c r="AS734" s="161"/>
      <c r="AT734" s="165"/>
      <c r="AU734" s="166"/>
      <c r="AV734" s="165"/>
      <c r="AW734" s="166"/>
      <c r="AX734" s="165"/>
      <c r="AY734" s="165"/>
      <c r="AZ734" s="165"/>
      <c r="BA734" s="165">
        <v>353.87452000000002</v>
      </c>
      <c r="BB734" s="166"/>
      <c r="BC734" s="165"/>
      <c r="BD734" s="165"/>
      <c r="BE734" s="165"/>
      <c r="BF734" s="165">
        <v>7551.5031600000002</v>
      </c>
      <c r="BG734" s="165">
        <v>773.77750000000003</v>
      </c>
      <c r="BH734" s="165">
        <v>5540.20208</v>
      </c>
      <c r="BI734" s="165"/>
      <c r="BJ734" s="166"/>
      <c r="BK734" s="165"/>
      <c r="BL734" s="165"/>
      <c r="BM734" s="163"/>
      <c r="BN734" s="165"/>
      <c r="BO734" s="165"/>
      <c r="BP734" s="165"/>
      <c r="BQ734" s="167"/>
    </row>
    <row r="735" spans="1:69" ht="39.950000000000003" customHeight="1" outlineLevel="1" x14ac:dyDescent="0.3">
      <c r="A735" s="17" t="s">
        <v>914</v>
      </c>
      <c r="B735" s="12" t="s">
        <v>921</v>
      </c>
      <c r="C735" s="9" t="s">
        <v>6</v>
      </c>
      <c r="D735" s="66" t="s">
        <v>922</v>
      </c>
      <c r="E735" s="158">
        <f t="shared" si="151"/>
        <v>4901.5382799999998</v>
      </c>
      <c r="F735" s="159">
        <f t="shared" si="152"/>
        <v>3641.4225199999996</v>
      </c>
      <c r="G735" s="160">
        <f t="shared" si="153"/>
        <v>1260.1157599999999</v>
      </c>
      <c r="H735" s="166">
        <v>3603.8950799999998</v>
      </c>
      <c r="I735" s="165">
        <v>1201.29837</v>
      </c>
      <c r="J735" s="160"/>
      <c r="K735" s="160"/>
      <c r="L735" s="166">
        <v>37.527439999999999</v>
      </c>
      <c r="M735" s="165">
        <v>58.817390000000003</v>
      </c>
      <c r="N735" s="165"/>
      <c r="O735" s="165"/>
      <c r="P735" s="160"/>
      <c r="Q735" s="166"/>
      <c r="R735" s="165"/>
      <c r="S735" s="165"/>
      <c r="T735" s="159"/>
      <c r="U735" s="160"/>
      <c r="V735" s="165"/>
      <c r="W735" s="165"/>
      <c r="X735" s="160"/>
      <c r="Y735" s="166"/>
      <c r="Z735" s="160"/>
      <c r="AA735" s="160"/>
      <c r="AB735" s="165"/>
      <c r="AC735" s="165"/>
      <c r="AD735" s="165"/>
      <c r="AE735" s="165"/>
      <c r="AF735" s="160"/>
      <c r="AG735" s="160"/>
      <c r="AH735" s="160"/>
      <c r="AI735" s="160"/>
      <c r="AJ735" s="161"/>
      <c r="AK735" s="162"/>
      <c r="AL735" s="165"/>
      <c r="AM735" s="166"/>
      <c r="AN735" s="165"/>
      <c r="AO735" s="160"/>
      <c r="AP735" s="162"/>
      <c r="AQ735" s="161"/>
      <c r="AR735" s="162"/>
      <c r="AS735" s="161"/>
      <c r="AT735" s="165"/>
      <c r="AU735" s="166"/>
      <c r="AV735" s="165"/>
      <c r="AW735" s="166"/>
      <c r="AX735" s="165"/>
      <c r="AY735" s="165"/>
      <c r="AZ735" s="165"/>
      <c r="BA735" s="165"/>
      <c r="BB735" s="166"/>
      <c r="BC735" s="165"/>
      <c r="BD735" s="165"/>
      <c r="BE735" s="165"/>
      <c r="BF735" s="165"/>
      <c r="BG735" s="165"/>
      <c r="BH735" s="165"/>
      <c r="BI735" s="165"/>
      <c r="BJ735" s="166"/>
      <c r="BK735" s="165"/>
      <c r="BL735" s="165"/>
      <c r="BM735" s="163"/>
      <c r="BN735" s="165"/>
      <c r="BO735" s="165"/>
      <c r="BP735" s="165"/>
      <c r="BQ735" s="167"/>
    </row>
    <row r="736" spans="1:69" ht="39.950000000000003" customHeight="1" outlineLevel="1" x14ac:dyDescent="0.3">
      <c r="A736" s="17" t="s">
        <v>914</v>
      </c>
      <c r="B736" s="14" t="s">
        <v>915</v>
      </c>
      <c r="C736" s="9" t="s">
        <v>6</v>
      </c>
      <c r="D736" s="66" t="s">
        <v>916</v>
      </c>
      <c r="E736" s="158">
        <f t="shared" si="151"/>
        <v>13278.196809999999</v>
      </c>
      <c r="F736" s="159">
        <f t="shared" si="152"/>
        <v>325.98270000000002</v>
      </c>
      <c r="G736" s="160">
        <f t="shared" si="153"/>
        <v>12952.214109999999</v>
      </c>
      <c r="H736" s="166"/>
      <c r="I736" s="165"/>
      <c r="J736" s="160">
        <v>96</v>
      </c>
      <c r="K736" s="160">
        <v>2704</v>
      </c>
      <c r="L736" s="166"/>
      <c r="M736" s="165"/>
      <c r="N736" s="165"/>
      <c r="O736" s="165"/>
      <c r="P736" s="160"/>
      <c r="Q736" s="166"/>
      <c r="R736" s="165"/>
      <c r="S736" s="165"/>
      <c r="T736" s="159"/>
      <c r="U736" s="160"/>
      <c r="V736" s="165"/>
      <c r="W736" s="165"/>
      <c r="X736" s="160"/>
      <c r="Y736" s="166">
        <v>325.98270000000002</v>
      </c>
      <c r="Z736" s="160">
        <v>108.6609</v>
      </c>
      <c r="AA736" s="160"/>
      <c r="AB736" s="165"/>
      <c r="AC736" s="165"/>
      <c r="AD736" s="165"/>
      <c r="AE736" s="165"/>
      <c r="AF736" s="160"/>
      <c r="AG736" s="160"/>
      <c r="AH736" s="160"/>
      <c r="AI736" s="160"/>
      <c r="AJ736" s="161"/>
      <c r="AK736" s="162"/>
      <c r="AL736" s="165"/>
      <c r="AM736" s="166"/>
      <c r="AN736" s="165"/>
      <c r="AO736" s="160"/>
      <c r="AP736" s="162"/>
      <c r="AQ736" s="161"/>
      <c r="AR736" s="162"/>
      <c r="AS736" s="161"/>
      <c r="AT736" s="165"/>
      <c r="AU736" s="166"/>
      <c r="AV736" s="165"/>
      <c r="AW736" s="166"/>
      <c r="AX736" s="165"/>
      <c r="AY736" s="165"/>
      <c r="AZ736" s="165"/>
      <c r="BA736" s="165"/>
      <c r="BB736" s="166"/>
      <c r="BC736" s="165"/>
      <c r="BD736" s="165">
        <v>9982.125</v>
      </c>
      <c r="BE736" s="165">
        <v>61.42821</v>
      </c>
      <c r="BF736" s="165"/>
      <c r="BG736" s="165"/>
      <c r="BH736" s="165"/>
      <c r="BI736" s="165"/>
      <c r="BJ736" s="166"/>
      <c r="BK736" s="165"/>
      <c r="BL736" s="165"/>
      <c r="BM736" s="163"/>
      <c r="BN736" s="165"/>
      <c r="BO736" s="165"/>
      <c r="BP736" s="165"/>
      <c r="BQ736" s="167"/>
    </row>
    <row r="737" spans="1:270" ht="39.950000000000003" customHeight="1" outlineLevel="1" x14ac:dyDescent="0.3">
      <c r="A737" s="17" t="s">
        <v>914</v>
      </c>
      <c r="B737" s="12" t="s">
        <v>923</v>
      </c>
      <c r="C737" s="9" t="s">
        <v>6</v>
      </c>
      <c r="D737" s="66" t="s">
        <v>924</v>
      </c>
      <c r="E737" s="158">
        <f t="shared" si="151"/>
        <v>1260.4647599999998</v>
      </c>
      <c r="F737" s="159">
        <f t="shared" si="152"/>
        <v>375.37826999999999</v>
      </c>
      <c r="G737" s="160">
        <f t="shared" si="153"/>
        <v>885.08648999999991</v>
      </c>
      <c r="H737" s="166"/>
      <c r="I737" s="165"/>
      <c r="J737" s="160"/>
      <c r="K737" s="160"/>
      <c r="L737" s="166">
        <v>375.37826999999999</v>
      </c>
      <c r="M737" s="165">
        <v>588.33659999999998</v>
      </c>
      <c r="N737" s="165"/>
      <c r="O737" s="165"/>
      <c r="P737" s="160"/>
      <c r="Q737" s="166"/>
      <c r="R737" s="165"/>
      <c r="S737" s="165"/>
      <c r="T737" s="159"/>
      <c r="U737" s="160"/>
      <c r="V737" s="165"/>
      <c r="W737" s="165"/>
      <c r="X737" s="160"/>
      <c r="Y737" s="166"/>
      <c r="Z737" s="160"/>
      <c r="AA737" s="160"/>
      <c r="AB737" s="165"/>
      <c r="AC737" s="165"/>
      <c r="AD737" s="165"/>
      <c r="AE737" s="165"/>
      <c r="AF737" s="160"/>
      <c r="AG737" s="160"/>
      <c r="AH737" s="160"/>
      <c r="AI737" s="160"/>
      <c r="AJ737" s="161"/>
      <c r="AK737" s="162"/>
      <c r="AL737" s="165"/>
      <c r="AM737" s="166"/>
      <c r="AN737" s="165"/>
      <c r="AO737" s="160"/>
      <c r="AP737" s="162"/>
      <c r="AQ737" s="161"/>
      <c r="AR737" s="162"/>
      <c r="AS737" s="161"/>
      <c r="AT737" s="165"/>
      <c r="AU737" s="166"/>
      <c r="AV737" s="165"/>
      <c r="AW737" s="166"/>
      <c r="AX737" s="165"/>
      <c r="AY737" s="165"/>
      <c r="AZ737" s="165"/>
      <c r="BA737" s="165"/>
      <c r="BB737" s="166"/>
      <c r="BC737" s="165"/>
      <c r="BD737" s="165"/>
      <c r="BE737" s="165">
        <v>172.24988999999999</v>
      </c>
      <c r="BF737" s="165"/>
      <c r="BG737" s="165">
        <v>124.5</v>
      </c>
      <c r="BH737" s="165"/>
      <c r="BI737" s="165"/>
      <c r="BJ737" s="166"/>
      <c r="BK737" s="165"/>
      <c r="BL737" s="165"/>
      <c r="BM737" s="163"/>
      <c r="BN737" s="165"/>
      <c r="BO737" s="165"/>
      <c r="BP737" s="165"/>
      <c r="BQ737" s="167"/>
    </row>
    <row r="738" spans="1:270" s="34" customFormat="1" ht="37.5" customHeight="1" x14ac:dyDescent="0.3">
      <c r="A738" s="118" t="s">
        <v>948</v>
      </c>
      <c r="B738" s="120"/>
      <c r="C738" s="116" t="s">
        <v>80</v>
      </c>
      <c r="D738" s="117"/>
      <c r="E738" s="173">
        <f t="shared" ref="E738:AI738" si="154">SUBTOTAL(9,E709:E737)</f>
        <v>254216.06332000004</v>
      </c>
      <c r="F738" s="173">
        <f t="shared" si="154"/>
        <v>42169.564819999992</v>
      </c>
      <c r="G738" s="173">
        <f t="shared" si="154"/>
        <v>212046.49849999996</v>
      </c>
      <c r="H738" s="173">
        <f t="shared" si="154"/>
        <v>10640.93216</v>
      </c>
      <c r="I738" s="173">
        <f t="shared" si="154"/>
        <v>3546.9774000000002</v>
      </c>
      <c r="J738" s="173">
        <f t="shared" si="154"/>
        <v>1536</v>
      </c>
      <c r="K738" s="173">
        <f t="shared" si="154"/>
        <v>2704</v>
      </c>
      <c r="L738" s="173">
        <f t="shared" si="154"/>
        <v>9998.7649600000004</v>
      </c>
      <c r="M738" s="173">
        <f t="shared" si="154"/>
        <v>15671.230130000002</v>
      </c>
      <c r="N738" s="173">
        <f t="shared" si="154"/>
        <v>0</v>
      </c>
      <c r="O738" s="173">
        <f>SUBTOTAL(9,O709:O737)</f>
        <v>0</v>
      </c>
      <c r="P738" s="173">
        <f>SUBTOTAL(9,P709:P737)</f>
        <v>134.19373999999999</v>
      </c>
      <c r="Q738" s="173">
        <f t="shared" si="154"/>
        <v>0</v>
      </c>
      <c r="R738" s="173">
        <f t="shared" si="154"/>
        <v>0</v>
      </c>
      <c r="S738" s="173">
        <f t="shared" si="154"/>
        <v>0</v>
      </c>
      <c r="T738" s="173">
        <f>SUBTOTAL(9,T709:T737)</f>
        <v>611.16498999999999</v>
      </c>
      <c r="U738" s="173">
        <f>SUBTOTAL(9,U709:U737)</f>
        <v>203.72166000000001</v>
      </c>
      <c r="V738" s="173">
        <f t="shared" si="154"/>
        <v>0</v>
      </c>
      <c r="W738" s="173">
        <f t="shared" si="154"/>
        <v>0</v>
      </c>
      <c r="X738" s="173">
        <f>SUBTOTAL(9,X709:X737)</f>
        <v>0</v>
      </c>
      <c r="Y738" s="173">
        <f t="shared" si="154"/>
        <v>3822.7068599999998</v>
      </c>
      <c r="Z738" s="173">
        <f t="shared" si="154"/>
        <v>1274.2356199999999</v>
      </c>
      <c r="AA738" s="173">
        <f t="shared" si="154"/>
        <v>31135.756180000004</v>
      </c>
      <c r="AB738" s="173">
        <f t="shared" si="154"/>
        <v>32736.1175</v>
      </c>
      <c r="AC738" s="173">
        <f t="shared" si="154"/>
        <v>0</v>
      </c>
      <c r="AD738" s="173">
        <f>SUBTOTAL(9,AD709:AD737)</f>
        <v>0</v>
      </c>
      <c r="AE738" s="173">
        <f t="shared" si="154"/>
        <v>0</v>
      </c>
      <c r="AF738" s="173">
        <f t="shared" si="154"/>
        <v>0</v>
      </c>
      <c r="AG738" s="173">
        <f t="shared" si="154"/>
        <v>0</v>
      </c>
      <c r="AH738" s="173">
        <f t="shared" si="154"/>
        <v>0</v>
      </c>
      <c r="AI738" s="173">
        <f t="shared" si="154"/>
        <v>9218.6673699999992</v>
      </c>
      <c r="AJ738" s="173">
        <f t="shared" ref="AJ738:BQ738" si="155">SUBTOTAL(9,AJ709:AJ737)</f>
        <v>0</v>
      </c>
      <c r="AK738" s="173">
        <f t="shared" si="155"/>
        <v>0</v>
      </c>
      <c r="AL738" s="173">
        <f t="shared" si="155"/>
        <v>0</v>
      </c>
      <c r="AM738" s="173">
        <f>SUBTOTAL(9,AM709:AM737)</f>
        <v>2850</v>
      </c>
      <c r="AN738" s="173">
        <f>SUBTOTAL(9,AN709:AN737)</f>
        <v>150</v>
      </c>
      <c r="AO738" s="173">
        <f>SUBTOTAL(9,AO709:AO737)</f>
        <v>0</v>
      </c>
      <c r="AP738" s="173">
        <f t="shared" si="155"/>
        <v>0</v>
      </c>
      <c r="AQ738" s="173">
        <f t="shared" si="155"/>
        <v>0</v>
      </c>
      <c r="AR738" s="173">
        <f t="shared" si="155"/>
        <v>0</v>
      </c>
      <c r="AS738" s="173">
        <f t="shared" si="155"/>
        <v>0</v>
      </c>
      <c r="AT738" s="173">
        <f>SUBTOTAL(9,AT709:AT737)</f>
        <v>0</v>
      </c>
      <c r="AU738" s="173">
        <f t="shared" si="155"/>
        <v>0</v>
      </c>
      <c r="AV738" s="173">
        <f t="shared" si="155"/>
        <v>0</v>
      </c>
      <c r="AW738" s="173">
        <f t="shared" si="155"/>
        <v>14245.995849999998</v>
      </c>
      <c r="AX738" s="173">
        <f t="shared" si="155"/>
        <v>7122.9978900000006</v>
      </c>
      <c r="AY738" s="173">
        <f t="shared" si="155"/>
        <v>3550.2319300000004</v>
      </c>
      <c r="AZ738" s="173">
        <f t="shared" si="155"/>
        <v>16039.09139</v>
      </c>
      <c r="BA738" s="173">
        <f t="shared" si="155"/>
        <v>353.87452000000002</v>
      </c>
      <c r="BB738" s="173">
        <f t="shared" si="155"/>
        <v>0</v>
      </c>
      <c r="BC738" s="173">
        <f t="shared" si="155"/>
        <v>0</v>
      </c>
      <c r="BD738" s="173">
        <f t="shared" si="155"/>
        <v>9982.125</v>
      </c>
      <c r="BE738" s="173">
        <f t="shared" si="155"/>
        <v>12678.865739999999</v>
      </c>
      <c r="BF738" s="173">
        <f t="shared" si="155"/>
        <v>27616.59851</v>
      </c>
      <c r="BG738" s="173">
        <f t="shared" si="155"/>
        <v>2813.6367999999998</v>
      </c>
      <c r="BH738" s="173">
        <f t="shared" si="155"/>
        <v>28183.826079999999</v>
      </c>
      <c r="BI738" s="173">
        <f t="shared" si="155"/>
        <v>387.22750000000002</v>
      </c>
      <c r="BJ738" s="173">
        <f t="shared" si="155"/>
        <v>0</v>
      </c>
      <c r="BK738" s="173">
        <f t="shared" si="155"/>
        <v>0</v>
      </c>
      <c r="BL738" s="173">
        <f t="shared" si="155"/>
        <v>0</v>
      </c>
      <c r="BM738" s="174">
        <f>SUBTOTAL(9,BM709:BM737)</f>
        <v>0</v>
      </c>
      <c r="BN738" s="173">
        <f t="shared" si="155"/>
        <v>0</v>
      </c>
      <c r="BO738" s="173">
        <f t="shared" si="155"/>
        <v>5007.1235399999996</v>
      </c>
      <c r="BP738" s="173">
        <f t="shared" si="155"/>
        <v>0</v>
      </c>
      <c r="BQ738" s="174">
        <f t="shared" si="155"/>
        <v>0</v>
      </c>
      <c r="BR738" s="40"/>
      <c r="BS738" s="40"/>
      <c r="BT738" s="40"/>
      <c r="BU738" s="40"/>
      <c r="BV738" s="40"/>
      <c r="BW738" s="40"/>
      <c r="BX738" s="40"/>
      <c r="BY738" s="40"/>
      <c r="BZ738" s="40"/>
      <c r="CA738" s="40"/>
      <c r="CB738" s="40"/>
      <c r="CC738" s="40"/>
      <c r="CD738" s="40"/>
      <c r="CE738" s="40"/>
      <c r="CF738" s="40"/>
      <c r="CG738" s="40"/>
      <c r="CH738" s="40"/>
      <c r="CI738" s="40"/>
      <c r="CJ738" s="40"/>
      <c r="CK738" s="40"/>
      <c r="CL738" s="40"/>
      <c r="CM738" s="40"/>
      <c r="CN738" s="40"/>
      <c r="CO738" s="40"/>
      <c r="CP738" s="40"/>
      <c r="CQ738" s="40"/>
      <c r="CR738" s="40"/>
      <c r="CS738" s="40"/>
      <c r="CT738" s="40"/>
      <c r="CU738" s="40"/>
      <c r="CV738" s="40"/>
      <c r="CW738" s="40"/>
      <c r="CX738" s="40"/>
      <c r="CY738" s="40"/>
      <c r="CZ738" s="40"/>
      <c r="DA738" s="40"/>
      <c r="DB738" s="40"/>
      <c r="DC738" s="40"/>
      <c r="DD738" s="40"/>
      <c r="DE738" s="40"/>
      <c r="DF738" s="40"/>
      <c r="DG738" s="40"/>
      <c r="DH738" s="40"/>
      <c r="DI738" s="40"/>
      <c r="DJ738" s="40"/>
      <c r="DK738" s="40"/>
      <c r="DL738" s="40"/>
      <c r="DM738" s="40"/>
      <c r="DN738" s="40"/>
      <c r="DO738" s="40"/>
      <c r="DP738" s="40"/>
      <c r="DQ738" s="40"/>
      <c r="DR738" s="40"/>
      <c r="DS738" s="40"/>
      <c r="DT738" s="40"/>
      <c r="DU738" s="40"/>
      <c r="DV738" s="40"/>
      <c r="DW738" s="40"/>
      <c r="DX738" s="40"/>
      <c r="DY738" s="40"/>
      <c r="DZ738" s="40"/>
      <c r="EA738" s="40"/>
      <c r="EB738" s="40"/>
      <c r="EC738" s="40"/>
      <c r="ED738" s="40"/>
      <c r="EE738" s="40"/>
      <c r="EF738" s="40"/>
      <c r="EG738" s="40"/>
      <c r="EH738" s="40"/>
      <c r="EI738" s="40"/>
      <c r="EJ738" s="40"/>
      <c r="EK738" s="40"/>
      <c r="EL738" s="40"/>
      <c r="EM738" s="40"/>
      <c r="EN738" s="40"/>
      <c r="EO738" s="40"/>
      <c r="EP738" s="40"/>
      <c r="EQ738" s="40"/>
      <c r="ER738" s="40"/>
      <c r="ES738" s="40"/>
      <c r="ET738" s="40"/>
      <c r="EU738" s="40"/>
      <c r="EV738" s="40"/>
      <c r="EW738" s="40"/>
      <c r="EX738" s="40"/>
      <c r="EY738" s="40"/>
      <c r="EZ738" s="40"/>
      <c r="FA738" s="40"/>
      <c r="FB738" s="40"/>
      <c r="FC738" s="40"/>
      <c r="FD738" s="40"/>
      <c r="FE738" s="40"/>
      <c r="FF738" s="40"/>
      <c r="FG738" s="40"/>
      <c r="FH738" s="40"/>
      <c r="FI738" s="40"/>
      <c r="FJ738" s="40"/>
      <c r="FK738" s="40"/>
      <c r="FL738" s="40"/>
      <c r="FM738" s="40"/>
      <c r="FN738" s="40"/>
      <c r="FO738" s="40"/>
      <c r="FP738" s="40"/>
      <c r="FQ738" s="40"/>
      <c r="FR738" s="40"/>
      <c r="FS738" s="40"/>
      <c r="FT738" s="40"/>
      <c r="FU738" s="40"/>
      <c r="FV738" s="40"/>
      <c r="FW738" s="40"/>
      <c r="FX738" s="40"/>
      <c r="FY738" s="40"/>
      <c r="FZ738" s="40"/>
      <c r="GA738" s="40"/>
      <c r="GB738" s="40"/>
      <c r="GC738" s="40"/>
      <c r="GD738" s="40"/>
      <c r="GE738" s="40"/>
      <c r="GF738" s="40"/>
      <c r="GG738" s="40"/>
      <c r="GH738" s="40"/>
      <c r="GI738" s="40"/>
      <c r="GJ738" s="40"/>
      <c r="GK738" s="40"/>
      <c r="GL738" s="40"/>
      <c r="GM738" s="40"/>
      <c r="GN738" s="40"/>
      <c r="GO738" s="40"/>
      <c r="GP738" s="40"/>
      <c r="GQ738" s="40"/>
      <c r="GR738" s="40"/>
      <c r="GS738" s="40"/>
      <c r="GT738" s="40"/>
      <c r="GU738" s="40"/>
      <c r="GV738" s="40"/>
      <c r="GW738" s="40"/>
      <c r="GX738" s="40"/>
      <c r="GY738" s="40"/>
      <c r="GZ738" s="40"/>
      <c r="HA738" s="40"/>
      <c r="HB738" s="40"/>
      <c r="HC738" s="40"/>
      <c r="HD738" s="40"/>
      <c r="HE738" s="40"/>
      <c r="HF738" s="40"/>
      <c r="HG738" s="40"/>
      <c r="HH738" s="40"/>
      <c r="HI738" s="40"/>
      <c r="HJ738" s="40"/>
      <c r="HK738" s="40"/>
      <c r="HL738" s="40"/>
      <c r="HM738" s="40"/>
      <c r="HN738" s="40"/>
      <c r="HO738" s="40"/>
      <c r="HP738" s="40"/>
      <c r="HQ738" s="40"/>
      <c r="HR738" s="40"/>
      <c r="HS738" s="40"/>
      <c r="HT738" s="40"/>
      <c r="HU738" s="40"/>
      <c r="HV738" s="40"/>
      <c r="HW738" s="40"/>
      <c r="HX738" s="40"/>
      <c r="HY738" s="40"/>
      <c r="HZ738" s="40"/>
      <c r="IA738" s="40"/>
      <c r="IB738" s="40"/>
      <c r="IC738" s="40"/>
      <c r="ID738" s="40"/>
      <c r="IE738" s="40"/>
      <c r="IF738" s="40"/>
      <c r="IG738" s="40"/>
      <c r="IH738" s="40"/>
      <c r="II738" s="40"/>
      <c r="IJ738" s="40"/>
      <c r="IK738" s="40"/>
      <c r="IL738" s="40"/>
      <c r="IM738" s="40"/>
      <c r="IN738" s="40"/>
      <c r="IO738" s="40"/>
      <c r="IP738" s="40"/>
      <c r="IQ738" s="40"/>
      <c r="IR738" s="40"/>
      <c r="IS738" s="40"/>
      <c r="IT738" s="40"/>
      <c r="IU738" s="40"/>
      <c r="IV738" s="40"/>
      <c r="IW738" s="40"/>
      <c r="IX738" s="40"/>
      <c r="IY738" s="40"/>
      <c r="IZ738" s="40"/>
      <c r="JA738" s="40"/>
      <c r="JB738" s="40"/>
      <c r="JC738" s="40"/>
      <c r="JD738" s="40"/>
      <c r="JE738" s="40"/>
      <c r="JF738" s="40"/>
      <c r="JG738" s="40"/>
      <c r="JH738" s="40"/>
      <c r="JI738" s="40"/>
      <c r="JJ738" s="40"/>
    </row>
    <row r="739" spans="1:270" ht="39.950000000000003" customHeight="1" outlineLevel="1" x14ac:dyDescent="0.3">
      <c r="A739" s="15" t="s">
        <v>949</v>
      </c>
      <c r="B739" s="14" t="s">
        <v>960</v>
      </c>
      <c r="C739" s="9" t="s">
        <v>30</v>
      </c>
      <c r="D739" s="66" t="s">
        <v>961</v>
      </c>
      <c r="E739" s="158">
        <f t="shared" ref="E739:E758" si="156">F739+G739</f>
        <v>2247.38067</v>
      </c>
      <c r="F739" s="159">
        <f t="shared" ref="F739:F758" si="157">H739+L739+Q739+Y739+T739+AK739+AP739+AM739+AR739+AU739+AW739+BB739+BJ739</f>
        <v>117.96142999999999</v>
      </c>
      <c r="G739" s="160">
        <f t="shared" ref="G739:G758" si="158">I739+J739+K739+M739+N739+R739+S739+V739+W739+AD739+O739+X739+Z739+AA739+AB739+AC739+AE739+AF739+P739+U739+AG739+AH739+AI739+AO739+AJ739+AL739+AQ739+AN739+AS739+AV739+AX739+AY739+AZ739+BA739+BC739+BD739+BE739+BF739+BG739+BH739+BI739+AT739+BK739+BL739+BN739+BO739+BP739+BQ739+BM739</f>
        <v>2129.4192400000002</v>
      </c>
      <c r="H739" s="166"/>
      <c r="I739" s="165"/>
      <c r="J739" s="160"/>
      <c r="K739" s="160"/>
      <c r="L739" s="166">
        <v>117.96142999999999</v>
      </c>
      <c r="M739" s="165">
        <v>184.88291000000001</v>
      </c>
      <c r="N739" s="165"/>
      <c r="O739" s="165"/>
      <c r="P739" s="160"/>
      <c r="Q739" s="166"/>
      <c r="R739" s="165"/>
      <c r="S739" s="165"/>
      <c r="T739" s="159"/>
      <c r="U739" s="160"/>
      <c r="V739" s="165"/>
      <c r="W739" s="165"/>
      <c r="X739" s="160"/>
      <c r="Y739" s="166"/>
      <c r="Z739" s="160"/>
      <c r="AA739" s="160"/>
      <c r="AB739" s="165"/>
      <c r="AC739" s="165"/>
      <c r="AD739" s="165"/>
      <c r="AE739" s="165"/>
      <c r="AF739" s="160"/>
      <c r="AG739" s="160"/>
      <c r="AH739" s="160"/>
      <c r="AI739" s="160"/>
      <c r="AJ739" s="161"/>
      <c r="AK739" s="162"/>
      <c r="AL739" s="165"/>
      <c r="AM739" s="166"/>
      <c r="AN739" s="165"/>
      <c r="AO739" s="160"/>
      <c r="AP739" s="162"/>
      <c r="AQ739" s="161"/>
      <c r="AR739" s="162"/>
      <c r="AS739" s="161"/>
      <c r="AT739" s="165"/>
      <c r="AU739" s="166"/>
      <c r="AV739" s="165"/>
      <c r="AW739" s="166"/>
      <c r="AX739" s="165"/>
      <c r="AY739" s="165"/>
      <c r="AZ739" s="165"/>
      <c r="BA739" s="165"/>
      <c r="BB739" s="166"/>
      <c r="BC739" s="165"/>
      <c r="BD739" s="165"/>
      <c r="BE739" s="165">
        <v>309.41917999999998</v>
      </c>
      <c r="BF739" s="165"/>
      <c r="BG739" s="165"/>
      <c r="BH739" s="165">
        <v>1635.11715</v>
      </c>
      <c r="BI739" s="165"/>
      <c r="BJ739" s="166"/>
      <c r="BK739" s="165"/>
      <c r="BL739" s="165"/>
      <c r="BM739" s="163"/>
      <c r="BN739" s="165"/>
      <c r="BO739" s="165"/>
      <c r="BP739" s="165"/>
      <c r="BQ739" s="167"/>
    </row>
    <row r="740" spans="1:270" ht="39.950000000000003" customHeight="1" outlineLevel="1" x14ac:dyDescent="0.3">
      <c r="A740" s="12" t="s">
        <v>949</v>
      </c>
      <c r="B740" s="14" t="s">
        <v>964</v>
      </c>
      <c r="C740" s="9" t="s">
        <v>30</v>
      </c>
      <c r="D740" s="9" t="s">
        <v>1247</v>
      </c>
      <c r="E740" s="158">
        <f t="shared" si="156"/>
        <v>49.232169999999996</v>
      </c>
      <c r="F740" s="159">
        <f t="shared" si="157"/>
        <v>33.691079999999999</v>
      </c>
      <c r="G740" s="160">
        <f t="shared" si="158"/>
        <v>15.541090000000001</v>
      </c>
      <c r="H740" s="166">
        <v>30.19774</v>
      </c>
      <c r="I740" s="165">
        <v>10.065910000000001</v>
      </c>
      <c r="J740" s="160"/>
      <c r="K740" s="160"/>
      <c r="L740" s="166">
        <v>3.4933399999999999</v>
      </c>
      <c r="M740" s="165">
        <v>5.4751799999999999</v>
      </c>
      <c r="N740" s="165"/>
      <c r="O740" s="165"/>
      <c r="P740" s="160"/>
      <c r="Q740" s="166"/>
      <c r="R740" s="165"/>
      <c r="S740" s="165"/>
      <c r="T740" s="159"/>
      <c r="U740" s="160"/>
      <c r="V740" s="165"/>
      <c r="W740" s="165"/>
      <c r="X740" s="161"/>
      <c r="Y740" s="166"/>
      <c r="Z740" s="160"/>
      <c r="AA740" s="160"/>
      <c r="AB740" s="165"/>
      <c r="AC740" s="165"/>
      <c r="AD740" s="165"/>
      <c r="AE740" s="165"/>
      <c r="AF740" s="160"/>
      <c r="AG740" s="161"/>
      <c r="AH740" s="161"/>
      <c r="AI740" s="160"/>
      <c r="AJ740" s="161"/>
      <c r="AK740" s="162"/>
      <c r="AL740" s="165"/>
      <c r="AM740" s="166"/>
      <c r="AN740" s="165"/>
      <c r="AO740" s="160"/>
      <c r="AP740" s="162"/>
      <c r="AQ740" s="161"/>
      <c r="AR740" s="162"/>
      <c r="AS740" s="161"/>
      <c r="AT740" s="165"/>
      <c r="AU740" s="166"/>
      <c r="AV740" s="165"/>
      <c r="AW740" s="162"/>
      <c r="AX740" s="161"/>
      <c r="AY740" s="161"/>
      <c r="AZ740" s="161"/>
      <c r="BA740" s="161"/>
      <c r="BB740" s="166"/>
      <c r="BC740" s="165"/>
      <c r="BD740" s="165"/>
      <c r="BE740" s="165"/>
      <c r="BF740" s="165"/>
      <c r="BG740" s="165"/>
      <c r="BH740" s="165"/>
      <c r="BI740" s="165"/>
      <c r="BJ740" s="166"/>
      <c r="BK740" s="165"/>
      <c r="BL740" s="165"/>
      <c r="BM740" s="163"/>
      <c r="BN740" s="165"/>
      <c r="BO740" s="165"/>
      <c r="BP740" s="165"/>
      <c r="BQ740" s="167"/>
    </row>
    <row r="741" spans="1:270" ht="39.950000000000003" customHeight="1" outlineLevel="1" x14ac:dyDescent="0.3">
      <c r="A741" s="12" t="s">
        <v>949</v>
      </c>
      <c r="B741" s="10" t="s">
        <v>957</v>
      </c>
      <c r="C741" s="9" t="s">
        <v>30</v>
      </c>
      <c r="D741" s="66" t="s">
        <v>958</v>
      </c>
      <c r="E741" s="158">
        <f t="shared" si="156"/>
        <v>158.20967999999999</v>
      </c>
      <c r="F741" s="159">
        <f t="shared" si="157"/>
        <v>61.62453</v>
      </c>
      <c r="G741" s="160">
        <f t="shared" si="158"/>
        <v>96.585149999999999</v>
      </c>
      <c r="H741" s="166"/>
      <c r="I741" s="165"/>
      <c r="J741" s="160"/>
      <c r="K741" s="160"/>
      <c r="L741" s="166">
        <v>61.62453</v>
      </c>
      <c r="M741" s="165">
        <v>96.585149999999999</v>
      </c>
      <c r="N741" s="165"/>
      <c r="O741" s="165"/>
      <c r="P741" s="160"/>
      <c r="Q741" s="166"/>
      <c r="R741" s="165"/>
      <c r="S741" s="165"/>
      <c r="T741" s="159"/>
      <c r="U741" s="160"/>
      <c r="V741" s="165"/>
      <c r="W741" s="165"/>
      <c r="X741" s="160"/>
      <c r="Y741" s="166"/>
      <c r="Z741" s="160"/>
      <c r="AA741" s="160"/>
      <c r="AB741" s="165"/>
      <c r="AC741" s="165"/>
      <c r="AD741" s="165"/>
      <c r="AE741" s="165"/>
      <c r="AF741" s="160"/>
      <c r="AG741" s="160"/>
      <c r="AH741" s="160"/>
      <c r="AI741" s="160"/>
      <c r="AJ741" s="161"/>
      <c r="AK741" s="162"/>
      <c r="AL741" s="165"/>
      <c r="AM741" s="166"/>
      <c r="AN741" s="165"/>
      <c r="AO741" s="160"/>
      <c r="AP741" s="162"/>
      <c r="AQ741" s="161"/>
      <c r="AR741" s="162"/>
      <c r="AS741" s="161"/>
      <c r="AT741" s="165"/>
      <c r="AU741" s="166"/>
      <c r="AV741" s="165"/>
      <c r="AW741" s="166"/>
      <c r="AX741" s="165"/>
      <c r="AY741" s="165"/>
      <c r="AZ741" s="165"/>
      <c r="BA741" s="165"/>
      <c r="BB741" s="166"/>
      <c r="BC741" s="165"/>
      <c r="BD741" s="165"/>
      <c r="BE741" s="165"/>
      <c r="BF741" s="165"/>
      <c r="BG741" s="165"/>
      <c r="BH741" s="165"/>
      <c r="BI741" s="165"/>
      <c r="BJ741" s="166"/>
      <c r="BK741" s="165"/>
      <c r="BL741" s="165"/>
      <c r="BM741" s="163"/>
      <c r="BN741" s="165"/>
      <c r="BO741" s="165"/>
      <c r="BP741" s="165"/>
      <c r="BQ741" s="167"/>
    </row>
    <row r="742" spans="1:270" ht="39.950000000000003" customHeight="1" outlineLevel="1" x14ac:dyDescent="0.3">
      <c r="A742" s="15" t="s">
        <v>949</v>
      </c>
      <c r="B742" s="14" t="s">
        <v>1141</v>
      </c>
      <c r="C742" s="9" t="s">
        <v>30</v>
      </c>
      <c r="D742" s="9" t="s">
        <v>1249</v>
      </c>
      <c r="E742" s="158">
        <f t="shared" si="156"/>
        <v>390.36239999999998</v>
      </c>
      <c r="F742" s="159">
        <f t="shared" si="157"/>
        <v>152.05074999999999</v>
      </c>
      <c r="G742" s="160">
        <f t="shared" si="158"/>
        <v>238.31164999999999</v>
      </c>
      <c r="H742" s="166"/>
      <c r="I742" s="165"/>
      <c r="J742" s="160"/>
      <c r="K742" s="160"/>
      <c r="L742" s="166">
        <v>152.05074999999999</v>
      </c>
      <c r="M742" s="165">
        <v>238.31164999999999</v>
      </c>
      <c r="N742" s="165"/>
      <c r="O742" s="165"/>
      <c r="P742" s="160"/>
      <c r="Q742" s="166"/>
      <c r="R742" s="165"/>
      <c r="S742" s="165"/>
      <c r="T742" s="159"/>
      <c r="U742" s="160"/>
      <c r="V742" s="165"/>
      <c r="W742" s="165"/>
      <c r="X742" s="160"/>
      <c r="Y742" s="166"/>
      <c r="Z742" s="160"/>
      <c r="AA742" s="160"/>
      <c r="AB742" s="165"/>
      <c r="AC742" s="165"/>
      <c r="AD742" s="165"/>
      <c r="AE742" s="165"/>
      <c r="AF742" s="160"/>
      <c r="AG742" s="160"/>
      <c r="AH742" s="160"/>
      <c r="AI742" s="160"/>
      <c r="AJ742" s="161"/>
      <c r="AK742" s="162"/>
      <c r="AL742" s="165"/>
      <c r="AM742" s="166"/>
      <c r="AN742" s="165"/>
      <c r="AO742" s="160"/>
      <c r="AP742" s="162"/>
      <c r="AQ742" s="161"/>
      <c r="AR742" s="162"/>
      <c r="AS742" s="161"/>
      <c r="AT742" s="165"/>
      <c r="AU742" s="166"/>
      <c r="AV742" s="165"/>
      <c r="AW742" s="166"/>
      <c r="AX742" s="165"/>
      <c r="AY742" s="165"/>
      <c r="AZ742" s="165"/>
      <c r="BA742" s="165"/>
      <c r="BB742" s="166"/>
      <c r="BC742" s="165"/>
      <c r="BD742" s="165"/>
      <c r="BE742" s="165"/>
      <c r="BF742" s="165"/>
      <c r="BG742" s="165"/>
      <c r="BH742" s="165"/>
      <c r="BI742" s="165"/>
      <c r="BJ742" s="166"/>
      <c r="BK742" s="165"/>
      <c r="BL742" s="165"/>
      <c r="BM742" s="163"/>
      <c r="BN742" s="165"/>
      <c r="BO742" s="165"/>
      <c r="BP742" s="165"/>
      <c r="BQ742" s="167"/>
    </row>
    <row r="743" spans="1:270" ht="39.950000000000003" customHeight="1" outlineLevel="1" x14ac:dyDescent="0.3">
      <c r="A743" s="12" t="s">
        <v>949</v>
      </c>
      <c r="B743" s="14" t="s">
        <v>1125</v>
      </c>
      <c r="C743" s="9" t="s">
        <v>30</v>
      </c>
      <c r="D743" s="9" t="s">
        <v>1251</v>
      </c>
      <c r="E743" s="158">
        <f t="shared" si="156"/>
        <v>975.99616000000003</v>
      </c>
      <c r="F743" s="159">
        <f t="shared" si="157"/>
        <v>686.02544</v>
      </c>
      <c r="G743" s="160">
        <f t="shared" si="158"/>
        <v>289.97072000000003</v>
      </c>
      <c r="H743" s="166">
        <v>636.35249999999996</v>
      </c>
      <c r="I743" s="165">
        <v>212.11750000000001</v>
      </c>
      <c r="J743" s="160"/>
      <c r="K743" s="160"/>
      <c r="L743" s="166">
        <v>49.672939999999997</v>
      </c>
      <c r="M743" s="165">
        <v>77.853219999999993</v>
      </c>
      <c r="N743" s="165"/>
      <c r="O743" s="165"/>
      <c r="P743" s="160"/>
      <c r="Q743" s="166"/>
      <c r="R743" s="165"/>
      <c r="S743" s="165"/>
      <c r="T743" s="159"/>
      <c r="U743" s="160"/>
      <c r="V743" s="165"/>
      <c r="W743" s="165"/>
      <c r="X743" s="160"/>
      <c r="Y743" s="166"/>
      <c r="Z743" s="160"/>
      <c r="AA743" s="160"/>
      <c r="AB743" s="165"/>
      <c r="AC743" s="165"/>
      <c r="AD743" s="165"/>
      <c r="AE743" s="165"/>
      <c r="AF743" s="160"/>
      <c r="AG743" s="160"/>
      <c r="AH743" s="160"/>
      <c r="AI743" s="160"/>
      <c r="AJ743" s="161"/>
      <c r="AK743" s="162"/>
      <c r="AL743" s="165"/>
      <c r="AM743" s="166"/>
      <c r="AN743" s="165"/>
      <c r="AO743" s="160"/>
      <c r="AP743" s="162"/>
      <c r="AQ743" s="161"/>
      <c r="AR743" s="162"/>
      <c r="AS743" s="161"/>
      <c r="AT743" s="165"/>
      <c r="AU743" s="166"/>
      <c r="AV743" s="165"/>
      <c r="AW743" s="166"/>
      <c r="AX743" s="165"/>
      <c r="AY743" s="165"/>
      <c r="AZ743" s="165"/>
      <c r="BA743" s="165"/>
      <c r="BB743" s="166"/>
      <c r="BC743" s="165"/>
      <c r="BD743" s="165"/>
      <c r="BE743" s="165"/>
      <c r="BF743" s="165"/>
      <c r="BG743" s="165"/>
      <c r="BH743" s="165"/>
      <c r="BI743" s="165"/>
      <c r="BJ743" s="166"/>
      <c r="BK743" s="165"/>
      <c r="BL743" s="165"/>
      <c r="BM743" s="163"/>
      <c r="BN743" s="165"/>
      <c r="BO743" s="165"/>
      <c r="BP743" s="165"/>
      <c r="BQ743" s="167"/>
    </row>
    <row r="744" spans="1:270" ht="39.950000000000003" customHeight="1" outlineLevel="1" x14ac:dyDescent="0.3">
      <c r="A744" s="12" t="s">
        <v>949</v>
      </c>
      <c r="B744" s="14" t="s">
        <v>966</v>
      </c>
      <c r="C744" s="9" t="s">
        <v>30</v>
      </c>
      <c r="D744" s="73">
        <v>246311783885</v>
      </c>
      <c r="E744" s="158">
        <f t="shared" si="156"/>
        <v>69.903459999999995</v>
      </c>
      <c r="F744" s="159">
        <f t="shared" si="157"/>
        <v>27.22822</v>
      </c>
      <c r="G744" s="160">
        <f t="shared" si="158"/>
        <v>42.675240000000002</v>
      </c>
      <c r="H744" s="166"/>
      <c r="I744" s="165"/>
      <c r="J744" s="160"/>
      <c r="K744" s="160"/>
      <c r="L744" s="166">
        <v>27.22822</v>
      </c>
      <c r="M744" s="165">
        <v>42.675240000000002</v>
      </c>
      <c r="N744" s="165"/>
      <c r="O744" s="165"/>
      <c r="P744" s="160"/>
      <c r="Q744" s="166"/>
      <c r="R744" s="165"/>
      <c r="S744" s="165"/>
      <c r="T744" s="159"/>
      <c r="U744" s="160"/>
      <c r="V744" s="165"/>
      <c r="W744" s="165"/>
      <c r="X744" s="160"/>
      <c r="Y744" s="166"/>
      <c r="Z744" s="160"/>
      <c r="AA744" s="160"/>
      <c r="AB744" s="165"/>
      <c r="AC744" s="165"/>
      <c r="AD744" s="165"/>
      <c r="AE744" s="165"/>
      <c r="AF744" s="160"/>
      <c r="AG744" s="160"/>
      <c r="AH744" s="160"/>
      <c r="AI744" s="160"/>
      <c r="AJ744" s="161"/>
      <c r="AK744" s="162"/>
      <c r="AL744" s="165"/>
      <c r="AM744" s="166"/>
      <c r="AN744" s="165"/>
      <c r="AO744" s="160"/>
      <c r="AP744" s="162"/>
      <c r="AQ744" s="161"/>
      <c r="AR744" s="162"/>
      <c r="AS744" s="161"/>
      <c r="AT744" s="165"/>
      <c r="AU744" s="166"/>
      <c r="AV744" s="165"/>
      <c r="AW744" s="166"/>
      <c r="AX744" s="165"/>
      <c r="AY744" s="165"/>
      <c r="AZ744" s="165"/>
      <c r="BA744" s="165"/>
      <c r="BB744" s="166"/>
      <c r="BC744" s="165"/>
      <c r="BD744" s="165"/>
      <c r="BE744" s="165"/>
      <c r="BF744" s="165"/>
      <c r="BG744" s="165"/>
      <c r="BH744" s="165"/>
      <c r="BI744" s="165"/>
      <c r="BJ744" s="166"/>
      <c r="BK744" s="165"/>
      <c r="BL744" s="165"/>
      <c r="BM744" s="163"/>
      <c r="BN744" s="165"/>
      <c r="BO744" s="165"/>
      <c r="BP744" s="165"/>
      <c r="BQ744" s="167"/>
    </row>
    <row r="745" spans="1:270" ht="39.950000000000003" customHeight="1" outlineLevel="1" x14ac:dyDescent="0.3">
      <c r="A745" s="12" t="s">
        <v>949</v>
      </c>
      <c r="B745" s="14" t="s">
        <v>962</v>
      </c>
      <c r="C745" s="9" t="s">
        <v>30</v>
      </c>
      <c r="D745" s="68">
        <v>243601236649</v>
      </c>
      <c r="E745" s="158">
        <f t="shared" si="156"/>
        <v>126.32202000000001</v>
      </c>
      <c r="F745" s="159">
        <f t="shared" si="157"/>
        <v>49.20391</v>
      </c>
      <c r="G745" s="160">
        <f t="shared" si="158"/>
        <v>77.118110000000001</v>
      </c>
      <c r="H745" s="166"/>
      <c r="I745" s="165"/>
      <c r="J745" s="160"/>
      <c r="K745" s="160"/>
      <c r="L745" s="166">
        <v>49.20391</v>
      </c>
      <c r="M745" s="165">
        <v>77.118110000000001</v>
      </c>
      <c r="N745" s="165"/>
      <c r="O745" s="165"/>
      <c r="P745" s="160"/>
      <c r="Q745" s="166"/>
      <c r="R745" s="165"/>
      <c r="S745" s="165"/>
      <c r="T745" s="159"/>
      <c r="U745" s="160"/>
      <c r="V745" s="165"/>
      <c r="W745" s="165"/>
      <c r="X745" s="160"/>
      <c r="Y745" s="166"/>
      <c r="Z745" s="160"/>
      <c r="AA745" s="160"/>
      <c r="AB745" s="165"/>
      <c r="AC745" s="165"/>
      <c r="AD745" s="165"/>
      <c r="AE745" s="165"/>
      <c r="AF745" s="160"/>
      <c r="AG745" s="160"/>
      <c r="AH745" s="160"/>
      <c r="AI745" s="160"/>
      <c r="AJ745" s="161"/>
      <c r="AK745" s="162"/>
      <c r="AL745" s="165"/>
      <c r="AM745" s="166"/>
      <c r="AN745" s="165"/>
      <c r="AO745" s="160"/>
      <c r="AP745" s="162"/>
      <c r="AQ745" s="161"/>
      <c r="AR745" s="162"/>
      <c r="AS745" s="161"/>
      <c r="AT745" s="165"/>
      <c r="AU745" s="166"/>
      <c r="AV745" s="165"/>
      <c r="AW745" s="166"/>
      <c r="AX745" s="165"/>
      <c r="AY745" s="165"/>
      <c r="AZ745" s="165"/>
      <c r="BA745" s="165"/>
      <c r="BB745" s="166"/>
      <c r="BC745" s="165"/>
      <c r="BD745" s="165"/>
      <c r="BE745" s="165"/>
      <c r="BF745" s="165"/>
      <c r="BG745" s="165"/>
      <c r="BH745" s="165"/>
      <c r="BI745" s="165"/>
      <c r="BJ745" s="166"/>
      <c r="BK745" s="165"/>
      <c r="BL745" s="165"/>
      <c r="BM745" s="163"/>
      <c r="BN745" s="165"/>
      <c r="BO745" s="165"/>
      <c r="BP745" s="165"/>
      <c r="BQ745" s="167"/>
    </row>
    <row r="746" spans="1:270" ht="39.950000000000003" customHeight="1" outlineLevel="1" x14ac:dyDescent="0.3">
      <c r="A746" s="15" t="s">
        <v>949</v>
      </c>
      <c r="B746" s="14" t="s">
        <v>1316</v>
      </c>
      <c r="C746" s="9" t="s">
        <v>30</v>
      </c>
      <c r="D746" s="9" t="s">
        <v>1317</v>
      </c>
      <c r="E746" s="158">
        <f t="shared" si="156"/>
        <v>39.095349999999996</v>
      </c>
      <c r="F746" s="159">
        <f t="shared" si="157"/>
        <v>15.2281</v>
      </c>
      <c r="G746" s="160">
        <f t="shared" si="158"/>
        <v>23.867249999999999</v>
      </c>
      <c r="H746" s="166"/>
      <c r="I746" s="165"/>
      <c r="J746" s="160"/>
      <c r="K746" s="160"/>
      <c r="L746" s="166">
        <v>15.2281</v>
      </c>
      <c r="M746" s="165">
        <v>23.867249999999999</v>
      </c>
      <c r="N746" s="165"/>
      <c r="O746" s="165"/>
      <c r="P746" s="160"/>
      <c r="Q746" s="166"/>
      <c r="R746" s="165"/>
      <c r="S746" s="165"/>
      <c r="T746" s="159"/>
      <c r="U746" s="160"/>
      <c r="V746" s="165"/>
      <c r="W746" s="165"/>
      <c r="X746" s="160"/>
      <c r="Y746" s="166"/>
      <c r="Z746" s="160"/>
      <c r="AA746" s="160"/>
      <c r="AB746" s="165"/>
      <c r="AC746" s="165"/>
      <c r="AD746" s="165"/>
      <c r="AE746" s="165"/>
      <c r="AF746" s="160"/>
      <c r="AG746" s="160"/>
      <c r="AH746" s="160"/>
      <c r="AI746" s="160"/>
      <c r="AJ746" s="161"/>
      <c r="AK746" s="162"/>
      <c r="AL746" s="165"/>
      <c r="AM746" s="166"/>
      <c r="AN746" s="165"/>
      <c r="AO746" s="160"/>
      <c r="AP746" s="162"/>
      <c r="AQ746" s="161"/>
      <c r="AR746" s="162"/>
      <c r="AS746" s="161"/>
      <c r="AT746" s="165"/>
      <c r="AU746" s="166"/>
      <c r="AV746" s="165"/>
      <c r="AW746" s="166"/>
      <c r="AX746" s="165"/>
      <c r="AY746" s="165"/>
      <c r="AZ746" s="165"/>
      <c r="BA746" s="165"/>
      <c r="BB746" s="166"/>
      <c r="BC746" s="165"/>
      <c r="BD746" s="165"/>
      <c r="BE746" s="165"/>
      <c r="BF746" s="165"/>
      <c r="BG746" s="165"/>
      <c r="BH746" s="165"/>
      <c r="BI746" s="165"/>
      <c r="BJ746" s="166"/>
      <c r="BK746" s="165"/>
      <c r="BL746" s="165"/>
      <c r="BM746" s="163"/>
      <c r="BN746" s="165"/>
      <c r="BO746" s="165"/>
      <c r="BP746" s="165"/>
      <c r="BQ746" s="167"/>
    </row>
    <row r="747" spans="1:270" ht="39.950000000000003" customHeight="1" outlineLevel="1" x14ac:dyDescent="0.3">
      <c r="A747" s="15" t="s">
        <v>949</v>
      </c>
      <c r="B747" s="14" t="s">
        <v>1543</v>
      </c>
      <c r="C747" s="9" t="s">
        <v>30</v>
      </c>
      <c r="D747" s="9" t="s">
        <v>1575</v>
      </c>
      <c r="E747" s="158">
        <f t="shared" si="156"/>
        <v>3000</v>
      </c>
      <c r="F747" s="159">
        <f t="shared" si="157"/>
        <v>2850</v>
      </c>
      <c r="G747" s="160">
        <f t="shared" si="158"/>
        <v>150</v>
      </c>
      <c r="H747" s="166"/>
      <c r="I747" s="165"/>
      <c r="J747" s="160"/>
      <c r="K747" s="160"/>
      <c r="L747" s="166"/>
      <c r="M747" s="165"/>
      <c r="N747" s="165"/>
      <c r="O747" s="165"/>
      <c r="P747" s="160"/>
      <c r="Q747" s="166"/>
      <c r="R747" s="165"/>
      <c r="S747" s="165"/>
      <c r="T747" s="159"/>
      <c r="U747" s="160"/>
      <c r="V747" s="165"/>
      <c r="W747" s="165"/>
      <c r="X747" s="160"/>
      <c r="Y747" s="166"/>
      <c r="Z747" s="160"/>
      <c r="AA747" s="160"/>
      <c r="AB747" s="165"/>
      <c r="AC747" s="165"/>
      <c r="AD747" s="165"/>
      <c r="AE747" s="165"/>
      <c r="AF747" s="160"/>
      <c r="AG747" s="160"/>
      <c r="AH747" s="160"/>
      <c r="AI747" s="160"/>
      <c r="AJ747" s="161"/>
      <c r="AK747" s="162"/>
      <c r="AL747" s="165"/>
      <c r="AM747" s="166">
        <v>2850</v>
      </c>
      <c r="AN747" s="165">
        <v>150</v>
      </c>
      <c r="AO747" s="160"/>
      <c r="AP747" s="162"/>
      <c r="AQ747" s="161"/>
      <c r="AR747" s="162"/>
      <c r="AS747" s="161"/>
      <c r="AT747" s="165"/>
      <c r="AU747" s="166"/>
      <c r="AV747" s="165"/>
      <c r="AW747" s="166"/>
      <c r="AX747" s="165"/>
      <c r="AY747" s="165"/>
      <c r="AZ747" s="165"/>
      <c r="BA747" s="165"/>
      <c r="BB747" s="166"/>
      <c r="BC747" s="165"/>
      <c r="BD747" s="165"/>
      <c r="BE747" s="165"/>
      <c r="BF747" s="165"/>
      <c r="BG747" s="165"/>
      <c r="BH747" s="165"/>
      <c r="BI747" s="165"/>
      <c r="BJ747" s="166"/>
      <c r="BK747" s="165"/>
      <c r="BL747" s="165"/>
      <c r="BM747" s="163"/>
      <c r="BN747" s="165"/>
      <c r="BO747" s="165"/>
      <c r="BP747" s="165"/>
      <c r="BQ747" s="167"/>
    </row>
    <row r="748" spans="1:270" ht="39.950000000000003" customHeight="1" outlineLevel="1" x14ac:dyDescent="0.3">
      <c r="A748" s="15" t="s">
        <v>949</v>
      </c>
      <c r="B748" s="14" t="s">
        <v>1140</v>
      </c>
      <c r="C748" s="9" t="s">
        <v>30</v>
      </c>
      <c r="D748" s="9" t="s">
        <v>1248</v>
      </c>
      <c r="E748" s="158">
        <f t="shared" si="156"/>
        <v>38.731610000000003</v>
      </c>
      <c r="F748" s="159">
        <f t="shared" si="157"/>
        <v>15.08642</v>
      </c>
      <c r="G748" s="160">
        <f t="shared" si="158"/>
        <v>23.645189999999999</v>
      </c>
      <c r="H748" s="166"/>
      <c r="I748" s="165"/>
      <c r="J748" s="160"/>
      <c r="K748" s="160"/>
      <c r="L748" s="166">
        <v>15.08642</v>
      </c>
      <c r="M748" s="165">
        <v>23.645189999999999</v>
      </c>
      <c r="N748" s="165"/>
      <c r="O748" s="165"/>
      <c r="P748" s="160"/>
      <c r="Q748" s="166"/>
      <c r="R748" s="165"/>
      <c r="S748" s="165"/>
      <c r="T748" s="159"/>
      <c r="U748" s="160"/>
      <c r="V748" s="165"/>
      <c r="W748" s="165"/>
      <c r="X748" s="160"/>
      <c r="Y748" s="166"/>
      <c r="Z748" s="160"/>
      <c r="AA748" s="160"/>
      <c r="AB748" s="165"/>
      <c r="AC748" s="165"/>
      <c r="AD748" s="165"/>
      <c r="AE748" s="165"/>
      <c r="AF748" s="160"/>
      <c r="AG748" s="160"/>
      <c r="AH748" s="160"/>
      <c r="AI748" s="160"/>
      <c r="AJ748" s="161"/>
      <c r="AK748" s="162"/>
      <c r="AL748" s="165"/>
      <c r="AM748" s="166"/>
      <c r="AN748" s="165"/>
      <c r="AO748" s="160"/>
      <c r="AP748" s="162"/>
      <c r="AQ748" s="161"/>
      <c r="AR748" s="162"/>
      <c r="AS748" s="161"/>
      <c r="AT748" s="165"/>
      <c r="AU748" s="166"/>
      <c r="AV748" s="165"/>
      <c r="AW748" s="166"/>
      <c r="AX748" s="165"/>
      <c r="AY748" s="165"/>
      <c r="AZ748" s="165"/>
      <c r="BA748" s="165"/>
      <c r="BB748" s="166"/>
      <c r="BC748" s="165"/>
      <c r="BD748" s="165"/>
      <c r="BE748" s="165"/>
      <c r="BF748" s="165"/>
      <c r="BG748" s="165"/>
      <c r="BH748" s="165"/>
      <c r="BI748" s="165"/>
      <c r="BJ748" s="166"/>
      <c r="BK748" s="165"/>
      <c r="BL748" s="165"/>
      <c r="BM748" s="163"/>
      <c r="BN748" s="165"/>
      <c r="BO748" s="165"/>
      <c r="BP748" s="165"/>
      <c r="BQ748" s="167"/>
    </row>
    <row r="749" spans="1:270" ht="39.950000000000003" customHeight="1" outlineLevel="1" x14ac:dyDescent="0.3">
      <c r="A749" s="12" t="s">
        <v>949</v>
      </c>
      <c r="B749" s="14" t="s">
        <v>963</v>
      </c>
      <c r="C749" s="9" t="s">
        <v>30</v>
      </c>
      <c r="D749" s="68">
        <v>243600812917</v>
      </c>
      <c r="E749" s="158">
        <f t="shared" si="156"/>
        <v>12.45538</v>
      </c>
      <c r="F749" s="159">
        <f t="shared" si="157"/>
        <v>4.8515199999999998</v>
      </c>
      <c r="G749" s="160">
        <f t="shared" si="158"/>
        <v>7.6038600000000001</v>
      </c>
      <c r="H749" s="166"/>
      <c r="I749" s="165"/>
      <c r="J749" s="160"/>
      <c r="K749" s="160"/>
      <c r="L749" s="166">
        <v>4.8515199999999998</v>
      </c>
      <c r="M749" s="165">
        <v>7.6038600000000001</v>
      </c>
      <c r="N749" s="165"/>
      <c r="O749" s="165"/>
      <c r="P749" s="160"/>
      <c r="Q749" s="166"/>
      <c r="R749" s="165"/>
      <c r="S749" s="165"/>
      <c r="T749" s="159"/>
      <c r="U749" s="160"/>
      <c r="V749" s="165"/>
      <c r="W749" s="165"/>
      <c r="X749" s="160"/>
      <c r="Y749" s="166"/>
      <c r="Z749" s="160"/>
      <c r="AA749" s="160"/>
      <c r="AB749" s="165"/>
      <c r="AC749" s="165"/>
      <c r="AD749" s="165"/>
      <c r="AE749" s="165"/>
      <c r="AF749" s="160"/>
      <c r="AG749" s="160"/>
      <c r="AH749" s="160"/>
      <c r="AI749" s="160"/>
      <c r="AJ749" s="161"/>
      <c r="AK749" s="162"/>
      <c r="AL749" s="165"/>
      <c r="AM749" s="166"/>
      <c r="AN749" s="165"/>
      <c r="AO749" s="160"/>
      <c r="AP749" s="162"/>
      <c r="AQ749" s="161"/>
      <c r="AR749" s="162"/>
      <c r="AS749" s="161"/>
      <c r="AT749" s="165"/>
      <c r="AU749" s="166"/>
      <c r="AV749" s="165"/>
      <c r="AW749" s="166"/>
      <c r="AX749" s="165"/>
      <c r="AY749" s="165"/>
      <c r="AZ749" s="165"/>
      <c r="BA749" s="165"/>
      <c r="BB749" s="166"/>
      <c r="BC749" s="165"/>
      <c r="BD749" s="165"/>
      <c r="BE749" s="165"/>
      <c r="BF749" s="165"/>
      <c r="BG749" s="165"/>
      <c r="BH749" s="165"/>
      <c r="BI749" s="165"/>
      <c r="BJ749" s="166"/>
      <c r="BK749" s="165"/>
      <c r="BL749" s="165"/>
      <c r="BM749" s="163"/>
      <c r="BN749" s="165"/>
      <c r="BO749" s="165"/>
      <c r="BP749" s="165"/>
      <c r="BQ749" s="167"/>
    </row>
    <row r="750" spans="1:270" ht="39.950000000000003" customHeight="1" outlineLevel="1" x14ac:dyDescent="0.3">
      <c r="A750" s="12" t="s">
        <v>949</v>
      </c>
      <c r="B750" s="14" t="s">
        <v>1466</v>
      </c>
      <c r="C750" s="9" t="s">
        <v>30</v>
      </c>
      <c r="D750" s="66" t="s">
        <v>959</v>
      </c>
      <c r="E750" s="158">
        <f t="shared" si="156"/>
        <v>7417.5967199999996</v>
      </c>
      <c r="F750" s="159">
        <f t="shared" si="157"/>
        <v>87.401560000000003</v>
      </c>
      <c r="G750" s="160">
        <f t="shared" si="158"/>
        <v>7330.1951599999993</v>
      </c>
      <c r="H750" s="166"/>
      <c r="I750" s="165"/>
      <c r="J750" s="160"/>
      <c r="K750" s="160"/>
      <c r="L750" s="166">
        <v>87.401560000000003</v>
      </c>
      <c r="M750" s="165">
        <v>136.98591999999999</v>
      </c>
      <c r="N750" s="165"/>
      <c r="O750" s="165"/>
      <c r="P750" s="160"/>
      <c r="Q750" s="166"/>
      <c r="R750" s="165"/>
      <c r="S750" s="165"/>
      <c r="T750" s="159"/>
      <c r="U750" s="160"/>
      <c r="V750" s="165"/>
      <c r="W750" s="165"/>
      <c r="X750" s="160"/>
      <c r="Y750" s="166"/>
      <c r="Z750" s="160"/>
      <c r="AA750" s="160"/>
      <c r="AB750" s="165"/>
      <c r="AC750" s="165"/>
      <c r="AD750" s="165"/>
      <c r="AE750" s="165"/>
      <c r="AF750" s="160"/>
      <c r="AG750" s="160"/>
      <c r="AH750" s="160"/>
      <c r="AI750" s="160"/>
      <c r="AJ750" s="161"/>
      <c r="AK750" s="162"/>
      <c r="AL750" s="165"/>
      <c r="AM750" s="166"/>
      <c r="AN750" s="165"/>
      <c r="AO750" s="160"/>
      <c r="AP750" s="162"/>
      <c r="AQ750" s="161"/>
      <c r="AR750" s="162"/>
      <c r="AS750" s="161"/>
      <c r="AT750" s="165"/>
      <c r="AU750" s="166"/>
      <c r="AV750" s="165"/>
      <c r="AW750" s="166"/>
      <c r="AX750" s="165"/>
      <c r="AY750" s="165"/>
      <c r="AZ750" s="165"/>
      <c r="BA750" s="165"/>
      <c r="BB750" s="166"/>
      <c r="BC750" s="165"/>
      <c r="BD750" s="165"/>
      <c r="BE750" s="165">
        <v>485.15123999999997</v>
      </c>
      <c r="BF750" s="165">
        <v>1578.6</v>
      </c>
      <c r="BG750" s="165"/>
      <c r="BH750" s="165">
        <v>5000</v>
      </c>
      <c r="BI750" s="165"/>
      <c r="BJ750" s="166"/>
      <c r="BK750" s="165"/>
      <c r="BL750" s="165"/>
      <c r="BM750" s="163"/>
      <c r="BN750" s="165"/>
      <c r="BO750" s="165">
        <v>129.458</v>
      </c>
      <c r="BP750" s="165"/>
      <c r="BQ750" s="167"/>
    </row>
    <row r="751" spans="1:270" ht="39.950000000000003" customHeight="1" outlineLevel="1" x14ac:dyDescent="0.3">
      <c r="A751" s="15" t="s">
        <v>949</v>
      </c>
      <c r="B751" s="14" t="s">
        <v>1142</v>
      </c>
      <c r="C751" s="9" t="s">
        <v>30</v>
      </c>
      <c r="D751" s="9" t="s">
        <v>1250</v>
      </c>
      <c r="E751" s="158">
        <f t="shared" si="156"/>
        <v>57.776139999999998</v>
      </c>
      <c r="F751" s="159">
        <f t="shared" si="157"/>
        <v>22.504490000000001</v>
      </c>
      <c r="G751" s="160">
        <f t="shared" si="158"/>
        <v>35.271650000000001</v>
      </c>
      <c r="H751" s="166"/>
      <c r="I751" s="165"/>
      <c r="J751" s="160"/>
      <c r="K751" s="160"/>
      <c r="L751" s="166">
        <v>22.504490000000001</v>
      </c>
      <c r="M751" s="165">
        <v>35.271650000000001</v>
      </c>
      <c r="N751" s="165"/>
      <c r="O751" s="165"/>
      <c r="P751" s="160"/>
      <c r="Q751" s="166"/>
      <c r="R751" s="165"/>
      <c r="S751" s="165"/>
      <c r="T751" s="159"/>
      <c r="U751" s="160"/>
      <c r="V751" s="165"/>
      <c r="W751" s="165"/>
      <c r="X751" s="160"/>
      <c r="Y751" s="166"/>
      <c r="Z751" s="160"/>
      <c r="AA751" s="160"/>
      <c r="AB751" s="165"/>
      <c r="AC751" s="165"/>
      <c r="AD751" s="165"/>
      <c r="AE751" s="165"/>
      <c r="AF751" s="160"/>
      <c r="AG751" s="160"/>
      <c r="AH751" s="160"/>
      <c r="AI751" s="160"/>
      <c r="AJ751" s="161"/>
      <c r="AK751" s="162"/>
      <c r="AL751" s="165"/>
      <c r="AM751" s="166"/>
      <c r="AN751" s="165"/>
      <c r="AO751" s="160"/>
      <c r="AP751" s="162"/>
      <c r="AQ751" s="161"/>
      <c r="AR751" s="162"/>
      <c r="AS751" s="161"/>
      <c r="AT751" s="165"/>
      <c r="AU751" s="166"/>
      <c r="AV751" s="165"/>
      <c r="AW751" s="166"/>
      <c r="AX751" s="165"/>
      <c r="AY751" s="165"/>
      <c r="AZ751" s="165"/>
      <c r="BA751" s="165"/>
      <c r="BB751" s="166"/>
      <c r="BC751" s="165"/>
      <c r="BD751" s="165"/>
      <c r="BE751" s="165"/>
      <c r="BF751" s="165"/>
      <c r="BG751" s="165"/>
      <c r="BH751" s="165"/>
      <c r="BI751" s="165"/>
      <c r="BJ751" s="166"/>
      <c r="BK751" s="165"/>
      <c r="BL751" s="165"/>
      <c r="BM751" s="163"/>
      <c r="BN751" s="165"/>
      <c r="BO751" s="165"/>
      <c r="BP751" s="165"/>
      <c r="BQ751" s="167"/>
    </row>
    <row r="752" spans="1:270" ht="39.950000000000003" customHeight="1" outlineLevel="1" x14ac:dyDescent="0.3">
      <c r="A752" s="12" t="s">
        <v>949</v>
      </c>
      <c r="B752" s="14" t="s">
        <v>965</v>
      </c>
      <c r="C752" s="9" t="s">
        <v>30</v>
      </c>
      <c r="D752" s="73">
        <v>243601001527</v>
      </c>
      <c r="E752" s="158">
        <f t="shared" si="156"/>
        <v>6211.0698300000004</v>
      </c>
      <c r="F752" s="159">
        <f t="shared" si="157"/>
        <v>82.214179999999999</v>
      </c>
      <c r="G752" s="160">
        <f t="shared" si="158"/>
        <v>6128.8556500000004</v>
      </c>
      <c r="H752" s="166"/>
      <c r="I752" s="165"/>
      <c r="J752" s="160"/>
      <c r="K752" s="160"/>
      <c r="L752" s="166">
        <v>82.214179999999999</v>
      </c>
      <c r="M752" s="165">
        <v>128.85565</v>
      </c>
      <c r="N752" s="165"/>
      <c r="O752" s="165"/>
      <c r="P752" s="160"/>
      <c r="Q752" s="166"/>
      <c r="R752" s="165"/>
      <c r="S752" s="165"/>
      <c r="T752" s="159"/>
      <c r="U752" s="160"/>
      <c r="V752" s="165"/>
      <c r="W752" s="165"/>
      <c r="X752" s="160"/>
      <c r="Y752" s="166"/>
      <c r="Z752" s="160"/>
      <c r="AA752" s="160"/>
      <c r="AB752" s="165"/>
      <c r="AC752" s="165"/>
      <c r="AD752" s="165"/>
      <c r="AE752" s="165"/>
      <c r="AF752" s="160"/>
      <c r="AG752" s="160"/>
      <c r="AH752" s="160"/>
      <c r="AI752" s="160"/>
      <c r="AJ752" s="161"/>
      <c r="AK752" s="162"/>
      <c r="AL752" s="165"/>
      <c r="AM752" s="166"/>
      <c r="AN752" s="165"/>
      <c r="AO752" s="160"/>
      <c r="AP752" s="162"/>
      <c r="AQ752" s="161"/>
      <c r="AR752" s="162"/>
      <c r="AS752" s="161"/>
      <c r="AT752" s="165"/>
      <c r="AU752" s="166"/>
      <c r="AV752" s="165"/>
      <c r="AW752" s="166"/>
      <c r="AX752" s="165"/>
      <c r="AY752" s="165"/>
      <c r="AZ752" s="165"/>
      <c r="BA752" s="165"/>
      <c r="BB752" s="166"/>
      <c r="BC752" s="165"/>
      <c r="BD752" s="165"/>
      <c r="BE752" s="165"/>
      <c r="BF752" s="165"/>
      <c r="BG752" s="165"/>
      <c r="BH752" s="165">
        <v>6000</v>
      </c>
      <c r="BI752" s="165"/>
      <c r="BJ752" s="166"/>
      <c r="BK752" s="165"/>
      <c r="BL752" s="165"/>
      <c r="BM752" s="163"/>
      <c r="BN752" s="165"/>
      <c r="BO752" s="165"/>
      <c r="BP752" s="165"/>
      <c r="BQ752" s="167"/>
    </row>
    <row r="753" spans="1:270" ht="39.950000000000003" customHeight="1" outlineLevel="1" x14ac:dyDescent="0.3">
      <c r="A753" s="17" t="s">
        <v>949</v>
      </c>
      <c r="B753" s="12" t="s">
        <v>1156</v>
      </c>
      <c r="C753" s="9" t="s">
        <v>87</v>
      </c>
      <c r="D753" s="66" t="s">
        <v>1157</v>
      </c>
      <c r="E753" s="158">
        <f t="shared" si="156"/>
        <v>374.23642999999998</v>
      </c>
      <c r="F753" s="159">
        <f t="shared" si="157"/>
        <v>0</v>
      </c>
      <c r="G753" s="160">
        <f t="shared" si="158"/>
        <v>374.23642999999998</v>
      </c>
      <c r="H753" s="166"/>
      <c r="I753" s="165"/>
      <c r="J753" s="160"/>
      <c r="K753" s="160"/>
      <c r="L753" s="166"/>
      <c r="M753" s="165"/>
      <c r="N753" s="165"/>
      <c r="O753" s="165"/>
      <c r="P753" s="160"/>
      <c r="Q753" s="166"/>
      <c r="R753" s="165"/>
      <c r="S753" s="165"/>
      <c r="T753" s="159"/>
      <c r="U753" s="160"/>
      <c r="V753" s="165"/>
      <c r="W753" s="165"/>
      <c r="X753" s="160"/>
      <c r="Y753" s="166"/>
      <c r="Z753" s="160"/>
      <c r="AA753" s="160"/>
      <c r="AB753" s="165"/>
      <c r="AC753" s="165"/>
      <c r="AD753" s="165"/>
      <c r="AE753" s="165"/>
      <c r="AF753" s="160"/>
      <c r="AG753" s="160"/>
      <c r="AH753" s="160"/>
      <c r="AI753" s="160"/>
      <c r="AJ753" s="161"/>
      <c r="AK753" s="162"/>
      <c r="AL753" s="165"/>
      <c r="AM753" s="166"/>
      <c r="AN753" s="165"/>
      <c r="AO753" s="160"/>
      <c r="AP753" s="162"/>
      <c r="AQ753" s="161"/>
      <c r="AR753" s="162"/>
      <c r="AS753" s="161"/>
      <c r="AT753" s="165"/>
      <c r="AU753" s="166"/>
      <c r="AV753" s="165"/>
      <c r="AW753" s="166"/>
      <c r="AX753" s="165"/>
      <c r="AY753" s="165"/>
      <c r="AZ753" s="165"/>
      <c r="BA753" s="165"/>
      <c r="BB753" s="166"/>
      <c r="BC753" s="165"/>
      <c r="BD753" s="165"/>
      <c r="BE753" s="165">
        <v>374.23642999999998</v>
      </c>
      <c r="BF753" s="165"/>
      <c r="BG753" s="165"/>
      <c r="BH753" s="165"/>
      <c r="BI753" s="165"/>
      <c r="BJ753" s="166"/>
      <c r="BK753" s="165"/>
      <c r="BL753" s="165"/>
      <c r="BM753" s="163"/>
      <c r="BN753" s="165"/>
      <c r="BO753" s="165"/>
      <c r="BP753" s="165"/>
      <c r="BQ753" s="167"/>
    </row>
    <row r="754" spans="1:270" ht="39.950000000000003" customHeight="1" outlineLevel="1" x14ac:dyDescent="0.3">
      <c r="A754" s="15" t="s">
        <v>949</v>
      </c>
      <c r="B754" s="14" t="s">
        <v>9</v>
      </c>
      <c r="C754" s="9" t="s">
        <v>6</v>
      </c>
      <c r="D754" s="66" t="s">
        <v>950</v>
      </c>
      <c r="E754" s="158">
        <f t="shared" si="156"/>
        <v>4491.6183099999998</v>
      </c>
      <c r="F754" s="159">
        <f t="shared" si="157"/>
        <v>122.49776</v>
      </c>
      <c r="G754" s="160">
        <f t="shared" si="158"/>
        <v>4369.1205499999996</v>
      </c>
      <c r="H754" s="166"/>
      <c r="I754" s="165"/>
      <c r="J754" s="160"/>
      <c r="K754" s="160"/>
      <c r="L754" s="166">
        <v>122.49776</v>
      </c>
      <c r="M754" s="165">
        <v>191.99278000000001</v>
      </c>
      <c r="N754" s="165"/>
      <c r="O754" s="165"/>
      <c r="P754" s="160"/>
      <c r="Q754" s="166"/>
      <c r="R754" s="165"/>
      <c r="S754" s="165"/>
      <c r="T754" s="159"/>
      <c r="U754" s="160"/>
      <c r="V754" s="165"/>
      <c r="W754" s="165"/>
      <c r="X754" s="160"/>
      <c r="Y754" s="166"/>
      <c r="Z754" s="160"/>
      <c r="AA754" s="160"/>
      <c r="AB754" s="165"/>
      <c r="AC754" s="165"/>
      <c r="AD754" s="165"/>
      <c r="AE754" s="165"/>
      <c r="AF754" s="160"/>
      <c r="AG754" s="160"/>
      <c r="AH754" s="160"/>
      <c r="AI754" s="160"/>
      <c r="AJ754" s="161"/>
      <c r="AK754" s="162"/>
      <c r="AL754" s="165"/>
      <c r="AM754" s="166"/>
      <c r="AN754" s="165"/>
      <c r="AO754" s="160"/>
      <c r="AP754" s="162"/>
      <c r="AQ754" s="161"/>
      <c r="AR754" s="162"/>
      <c r="AS754" s="161"/>
      <c r="AT754" s="165"/>
      <c r="AU754" s="166"/>
      <c r="AV754" s="165"/>
      <c r="AW754" s="166"/>
      <c r="AX754" s="165"/>
      <c r="AY754" s="165"/>
      <c r="AZ754" s="165"/>
      <c r="BA754" s="165"/>
      <c r="BB754" s="166"/>
      <c r="BC754" s="165"/>
      <c r="BD754" s="165"/>
      <c r="BE754" s="165">
        <v>2177.1277700000001</v>
      </c>
      <c r="BF754" s="165"/>
      <c r="BG754" s="165"/>
      <c r="BH754" s="165">
        <v>2000</v>
      </c>
      <c r="BI754" s="165"/>
      <c r="BJ754" s="166"/>
      <c r="BK754" s="165"/>
      <c r="BL754" s="165"/>
      <c r="BM754" s="163"/>
      <c r="BN754" s="165"/>
      <c r="BO754" s="165"/>
      <c r="BP754" s="165"/>
      <c r="BQ754" s="167"/>
    </row>
    <row r="755" spans="1:270" ht="39.950000000000003" customHeight="1" outlineLevel="1" x14ac:dyDescent="0.3">
      <c r="A755" s="15" t="s">
        <v>949</v>
      </c>
      <c r="B755" s="14" t="s">
        <v>370</v>
      </c>
      <c r="C755" s="9" t="s">
        <v>6</v>
      </c>
      <c r="D755" s="66" t="s">
        <v>951</v>
      </c>
      <c r="E755" s="158">
        <f t="shared" si="156"/>
        <v>13634.562329999999</v>
      </c>
      <c r="F755" s="159">
        <f t="shared" si="157"/>
        <v>3892.7701300000003</v>
      </c>
      <c r="G755" s="160">
        <f t="shared" si="158"/>
        <v>9741.792199999998</v>
      </c>
      <c r="H755" s="166">
        <v>533.71500000000003</v>
      </c>
      <c r="I755" s="165">
        <v>177.905</v>
      </c>
      <c r="J755" s="160">
        <v>390</v>
      </c>
      <c r="K755" s="160"/>
      <c r="L755" s="166">
        <v>1761.4010800000001</v>
      </c>
      <c r="M755" s="165">
        <v>2760.6731300000001</v>
      </c>
      <c r="N755" s="165"/>
      <c r="O755" s="165"/>
      <c r="P755" s="160"/>
      <c r="Q755" s="166">
        <v>1597.6540500000001</v>
      </c>
      <c r="R755" s="165">
        <v>532.55134999999996</v>
      </c>
      <c r="S755" s="165"/>
      <c r="T755" s="159"/>
      <c r="U755" s="160"/>
      <c r="V755" s="165"/>
      <c r="W755" s="165">
        <v>5549.44</v>
      </c>
      <c r="X755" s="160"/>
      <c r="Y755" s="166"/>
      <c r="Z755" s="160"/>
      <c r="AA755" s="160"/>
      <c r="AB755" s="165"/>
      <c r="AC755" s="165"/>
      <c r="AD755" s="165"/>
      <c r="AE755" s="165"/>
      <c r="AF755" s="160"/>
      <c r="AG755" s="160"/>
      <c r="AH755" s="160"/>
      <c r="AI755" s="160"/>
      <c r="AJ755" s="161"/>
      <c r="AK755" s="162"/>
      <c r="AL755" s="165"/>
      <c r="AM755" s="166"/>
      <c r="AN755" s="165"/>
      <c r="AO755" s="160"/>
      <c r="AP755" s="162"/>
      <c r="AQ755" s="161"/>
      <c r="AR755" s="162"/>
      <c r="AS755" s="161"/>
      <c r="AT755" s="165"/>
      <c r="AU755" s="166"/>
      <c r="AV755" s="165"/>
      <c r="AW755" s="166"/>
      <c r="AX755" s="165"/>
      <c r="AY755" s="165"/>
      <c r="AZ755" s="165"/>
      <c r="BA755" s="165"/>
      <c r="BB755" s="166"/>
      <c r="BC755" s="165"/>
      <c r="BD755" s="165"/>
      <c r="BE755" s="165"/>
      <c r="BF755" s="165"/>
      <c r="BG755" s="165"/>
      <c r="BH755" s="165"/>
      <c r="BI755" s="165"/>
      <c r="BJ755" s="166"/>
      <c r="BK755" s="165"/>
      <c r="BL755" s="165"/>
      <c r="BM755" s="163"/>
      <c r="BN755" s="165"/>
      <c r="BO755" s="165">
        <v>331.22271999999998</v>
      </c>
      <c r="BP755" s="165"/>
      <c r="BQ755" s="167"/>
    </row>
    <row r="756" spans="1:270" ht="39.950000000000003" customHeight="1" outlineLevel="1" x14ac:dyDescent="0.3">
      <c r="A756" s="17" t="s">
        <v>949</v>
      </c>
      <c r="B756" s="12" t="s">
        <v>952</v>
      </c>
      <c r="C756" s="9" t="s">
        <v>6</v>
      </c>
      <c r="D756" s="66" t="s">
        <v>953</v>
      </c>
      <c r="E756" s="158">
        <f t="shared" si="156"/>
        <v>1936.6411499999999</v>
      </c>
      <c r="F756" s="159">
        <f t="shared" si="157"/>
        <v>709.21455000000003</v>
      </c>
      <c r="G756" s="160">
        <f t="shared" si="158"/>
        <v>1227.4266</v>
      </c>
      <c r="H756" s="166"/>
      <c r="I756" s="165"/>
      <c r="J756" s="160"/>
      <c r="K756" s="160"/>
      <c r="L756" s="166">
        <v>471.49889000000002</v>
      </c>
      <c r="M756" s="165">
        <v>738.98802999999998</v>
      </c>
      <c r="N756" s="165"/>
      <c r="O756" s="165"/>
      <c r="P756" s="160"/>
      <c r="Q756" s="166"/>
      <c r="R756" s="165"/>
      <c r="S756" s="165"/>
      <c r="T756" s="159"/>
      <c r="U756" s="160"/>
      <c r="V756" s="165"/>
      <c r="W756" s="165"/>
      <c r="X756" s="160"/>
      <c r="Y756" s="166"/>
      <c r="Z756" s="160"/>
      <c r="AA756" s="160"/>
      <c r="AB756" s="165"/>
      <c r="AC756" s="165"/>
      <c r="AD756" s="165"/>
      <c r="AE756" s="165"/>
      <c r="AF756" s="160"/>
      <c r="AG756" s="160"/>
      <c r="AH756" s="160"/>
      <c r="AI756" s="160"/>
      <c r="AJ756" s="161"/>
      <c r="AK756" s="162"/>
      <c r="AL756" s="165"/>
      <c r="AM756" s="166"/>
      <c r="AN756" s="165"/>
      <c r="AO756" s="160"/>
      <c r="AP756" s="162"/>
      <c r="AQ756" s="161"/>
      <c r="AR756" s="162"/>
      <c r="AS756" s="161"/>
      <c r="AT756" s="165"/>
      <c r="AU756" s="166"/>
      <c r="AV756" s="165"/>
      <c r="AW756" s="166">
        <f>220.00158+17.71408</f>
        <v>237.71565999999999</v>
      </c>
      <c r="AX756" s="165">
        <f>44.28604+3.56581+65.71475+5.29122</f>
        <v>118.85781999999999</v>
      </c>
      <c r="AY756" s="165"/>
      <c r="AZ756" s="165"/>
      <c r="BA756" s="165"/>
      <c r="BB756" s="166"/>
      <c r="BC756" s="165"/>
      <c r="BD756" s="165"/>
      <c r="BE756" s="165">
        <v>369.58075000000002</v>
      </c>
      <c r="BF756" s="165"/>
      <c r="BG756" s="165"/>
      <c r="BH756" s="165"/>
      <c r="BI756" s="165"/>
      <c r="BJ756" s="166"/>
      <c r="BK756" s="165"/>
      <c r="BL756" s="165"/>
      <c r="BM756" s="163"/>
      <c r="BN756" s="165"/>
      <c r="BO756" s="165"/>
      <c r="BP756" s="165"/>
      <c r="BQ756" s="167"/>
    </row>
    <row r="757" spans="1:270" ht="39.950000000000003" customHeight="1" outlineLevel="1" x14ac:dyDescent="0.3">
      <c r="A757" s="17" t="s">
        <v>949</v>
      </c>
      <c r="B757" s="12" t="s">
        <v>954</v>
      </c>
      <c r="C757" s="9" t="s">
        <v>6</v>
      </c>
      <c r="D757" s="66" t="s">
        <v>955</v>
      </c>
      <c r="E757" s="158">
        <f t="shared" si="156"/>
        <v>4404.7773900000002</v>
      </c>
      <c r="F757" s="159">
        <f t="shared" si="157"/>
        <v>446.56214999999997</v>
      </c>
      <c r="G757" s="160">
        <f t="shared" si="158"/>
        <v>3958.21524</v>
      </c>
      <c r="H757" s="166">
        <v>199.11675</v>
      </c>
      <c r="I757" s="165">
        <v>66.372249999999994</v>
      </c>
      <c r="J757" s="160"/>
      <c r="K757" s="160"/>
      <c r="L757" s="166">
        <v>247.44540000000001</v>
      </c>
      <c r="M757" s="165">
        <v>387.82526999999999</v>
      </c>
      <c r="N757" s="165"/>
      <c r="O757" s="165"/>
      <c r="P757" s="160"/>
      <c r="Q757" s="166"/>
      <c r="R757" s="165"/>
      <c r="S757" s="165"/>
      <c r="T757" s="159"/>
      <c r="U757" s="160"/>
      <c r="V757" s="165"/>
      <c r="W757" s="165"/>
      <c r="X757" s="160"/>
      <c r="Y757" s="166"/>
      <c r="Z757" s="160"/>
      <c r="AA757" s="160"/>
      <c r="AB757" s="165"/>
      <c r="AC757" s="165"/>
      <c r="AD757" s="165"/>
      <c r="AE757" s="165"/>
      <c r="AF757" s="160"/>
      <c r="AG757" s="160"/>
      <c r="AH757" s="160"/>
      <c r="AI757" s="160"/>
      <c r="AJ757" s="161"/>
      <c r="AK757" s="162"/>
      <c r="AL757" s="165"/>
      <c r="AM757" s="166"/>
      <c r="AN757" s="165"/>
      <c r="AO757" s="160"/>
      <c r="AP757" s="162"/>
      <c r="AQ757" s="161"/>
      <c r="AR757" s="162"/>
      <c r="AS757" s="161"/>
      <c r="AT757" s="165"/>
      <c r="AU757" s="166"/>
      <c r="AV757" s="165"/>
      <c r="AW757" s="166"/>
      <c r="AX757" s="165"/>
      <c r="AY757" s="165">
        <v>132.39759000000001</v>
      </c>
      <c r="AZ757" s="165"/>
      <c r="BA757" s="165"/>
      <c r="BB757" s="166"/>
      <c r="BC757" s="165"/>
      <c r="BD757" s="165"/>
      <c r="BE757" s="165">
        <v>332.92012999999997</v>
      </c>
      <c r="BF757" s="165"/>
      <c r="BG757" s="165">
        <v>38.700000000000003</v>
      </c>
      <c r="BH757" s="165">
        <v>3000</v>
      </c>
      <c r="BI757" s="165"/>
      <c r="BJ757" s="166"/>
      <c r="BK757" s="165"/>
      <c r="BL757" s="165"/>
      <c r="BM757" s="163"/>
      <c r="BN757" s="165"/>
      <c r="BO757" s="165"/>
      <c r="BP757" s="165"/>
      <c r="BQ757" s="167"/>
    </row>
    <row r="758" spans="1:270" ht="39.950000000000003" customHeight="1" outlineLevel="1" x14ac:dyDescent="0.3">
      <c r="A758" s="12" t="s">
        <v>949</v>
      </c>
      <c r="B758" s="10" t="s">
        <v>1473</v>
      </c>
      <c r="C758" s="9" t="s">
        <v>6</v>
      </c>
      <c r="D758" s="66" t="s">
        <v>956</v>
      </c>
      <c r="E758" s="158">
        <f t="shared" si="156"/>
        <v>246.11511000000002</v>
      </c>
      <c r="F758" s="159">
        <f t="shared" si="157"/>
        <v>95.864729999999994</v>
      </c>
      <c r="G758" s="160">
        <f t="shared" si="158"/>
        <v>150.25038000000001</v>
      </c>
      <c r="H758" s="166"/>
      <c r="I758" s="165"/>
      <c r="J758" s="160"/>
      <c r="K758" s="160"/>
      <c r="L758" s="166">
        <v>95.864729999999994</v>
      </c>
      <c r="M758" s="165">
        <v>150.25038000000001</v>
      </c>
      <c r="N758" s="165"/>
      <c r="O758" s="165"/>
      <c r="P758" s="160"/>
      <c r="Q758" s="166"/>
      <c r="R758" s="165"/>
      <c r="S758" s="165"/>
      <c r="T758" s="159"/>
      <c r="U758" s="160"/>
      <c r="V758" s="165"/>
      <c r="W758" s="165"/>
      <c r="X758" s="160"/>
      <c r="Y758" s="166"/>
      <c r="Z758" s="160"/>
      <c r="AA758" s="160"/>
      <c r="AB758" s="165"/>
      <c r="AC758" s="165"/>
      <c r="AD758" s="165"/>
      <c r="AE758" s="165"/>
      <c r="AF758" s="160"/>
      <c r="AG758" s="160"/>
      <c r="AH758" s="160"/>
      <c r="AI758" s="160"/>
      <c r="AJ758" s="161"/>
      <c r="AK758" s="162"/>
      <c r="AL758" s="165"/>
      <c r="AM758" s="166"/>
      <c r="AN758" s="165"/>
      <c r="AO758" s="160"/>
      <c r="AP758" s="162"/>
      <c r="AQ758" s="161"/>
      <c r="AR758" s="162"/>
      <c r="AS758" s="161"/>
      <c r="AT758" s="165"/>
      <c r="AU758" s="166"/>
      <c r="AV758" s="165"/>
      <c r="AW758" s="166"/>
      <c r="AX758" s="165"/>
      <c r="AY758" s="165"/>
      <c r="AZ758" s="165"/>
      <c r="BA758" s="165"/>
      <c r="BB758" s="166"/>
      <c r="BC758" s="165"/>
      <c r="BD758" s="165"/>
      <c r="BE758" s="165"/>
      <c r="BF758" s="165"/>
      <c r="BG758" s="165"/>
      <c r="BH758" s="165"/>
      <c r="BI758" s="165"/>
      <c r="BJ758" s="166"/>
      <c r="BK758" s="165"/>
      <c r="BL758" s="165"/>
      <c r="BM758" s="163"/>
      <c r="BN758" s="165"/>
      <c r="BO758" s="165"/>
      <c r="BP758" s="165"/>
      <c r="BQ758" s="167"/>
    </row>
    <row r="759" spans="1:270" s="40" customFormat="1" ht="39.950000000000003" customHeight="1" x14ac:dyDescent="0.3">
      <c r="A759" s="118" t="s">
        <v>967</v>
      </c>
      <c r="B759" s="120"/>
      <c r="C759" s="116" t="s">
        <v>80</v>
      </c>
      <c r="D759" s="117"/>
      <c r="E759" s="173">
        <f>SUBTOTAL(9,E739:E758)</f>
        <v>45882.082310000005</v>
      </c>
      <c r="F759" s="173">
        <f t="shared" ref="F759:G759" si="159">SUBTOTAL(9,F739:F758)</f>
        <v>9471.980950000001</v>
      </c>
      <c r="G759" s="173">
        <f t="shared" si="159"/>
        <v>36410.101359999993</v>
      </c>
      <c r="H759" s="173">
        <f t="shared" ref="H759:AL759" si="160">SUBTOTAL(9,H739:H758)</f>
        <v>1399.3819899999999</v>
      </c>
      <c r="I759" s="173">
        <f t="shared" si="160"/>
        <v>466.46066000000002</v>
      </c>
      <c r="J759" s="173">
        <f t="shared" si="160"/>
        <v>390</v>
      </c>
      <c r="K759" s="173">
        <f t="shared" si="160"/>
        <v>0</v>
      </c>
      <c r="L759" s="173">
        <f t="shared" si="160"/>
        <v>3387.2292499999994</v>
      </c>
      <c r="M759" s="173">
        <f t="shared" si="160"/>
        <v>5308.8605700000007</v>
      </c>
      <c r="N759" s="173">
        <f t="shared" si="160"/>
        <v>0</v>
      </c>
      <c r="O759" s="173">
        <f>SUBTOTAL(9,O739:O758)</f>
        <v>0</v>
      </c>
      <c r="P759" s="173">
        <f>SUBTOTAL(9,P739:P758)</f>
        <v>0</v>
      </c>
      <c r="Q759" s="173">
        <f t="shared" si="160"/>
        <v>1597.6540500000001</v>
      </c>
      <c r="R759" s="173">
        <f t="shared" si="160"/>
        <v>532.55134999999996</v>
      </c>
      <c r="S759" s="173">
        <f t="shared" si="160"/>
        <v>0</v>
      </c>
      <c r="T759" s="173">
        <f>SUBTOTAL(9,T739:T758)</f>
        <v>0</v>
      </c>
      <c r="U759" s="173">
        <f>SUBTOTAL(9,U739:U758)</f>
        <v>0</v>
      </c>
      <c r="V759" s="173">
        <f t="shared" si="160"/>
        <v>0</v>
      </c>
      <c r="W759" s="173">
        <f t="shared" si="160"/>
        <v>5549.44</v>
      </c>
      <c r="X759" s="173">
        <f>SUBTOTAL(9,X739:X758)</f>
        <v>0</v>
      </c>
      <c r="Y759" s="173">
        <f t="shared" si="160"/>
        <v>0</v>
      </c>
      <c r="Z759" s="173">
        <f t="shared" si="160"/>
        <v>0</v>
      </c>
      <c r="AA759" s="173">
        <f t="shared" si="160"/>
        <v>0</v>
      </c>
      <c r="AB759" s="173">
        <f t="shared" si="160"/>
        <v>0</v>
      </c>
      <c r="AC759" s="173">
        <f t="shared" si="160"/>
        <v>0</v>
      </c>
      <c r="AD759" s="173">
        <f>SUBTOTAL(9,AD739:AD758)</f>
        <v>0</v>
      </c>
      <c r="AE759" s="173">
        <f t="shared" si="160"/>
        <v>0</v>
      </c>
      <c r="AF759" s="173">
        <f t="shared" si="160"/>
        <v>0</v>
      </c>
      <c r="AG759" s="173">
        <f t="shared" si="160"/>
        <v>0</v>
      </c>
      <c r="AH759" s="173">
        <f t="shared" si="160"/>
        <v>0</v>
      </c>
      <c r="AI759" s="173">
        <f t="shared" si="160"/>
        <v>0</v>
      </c>
      <c r="AJ759" s="173">
        <f t="shared" si="160"/>
        <v>0</v>
      </c>
      <c r="AK759" s="173">
        <f t="shared" si="160"/>
        <v>0</v>
      </c>
      <c r="AL759" s="173">
        <f t="shared" si="160"/>
        <v>0</v>
      </c>
      <c r="AM759" s="173">
        <f>SUBTOTAL(9,AM739:AM758)</f>
        <v>2850</v>
      </c>
      <c r="AN759" s="173">
        <f>SUBTOTAL(9,AN739:AN758)</f>
        <v>150</v>
      </c>
      <c r="AO759" s="173">
        <f>SUBTOTAL(9,AO739:AO758)</f>
        <v>0</v>
      </c>
      <c r="AP759" s="173">
        <f t="shared" ref="AP759:BQ759" si="161">SUBTOTAL(9,AP739:AP758)</f>
        <v>0</v>
      </c>
      <c r="AQ759" s="173">
        <f t="shared" si="161"/>
        <v>0</v>
      </c>
      <c r="AR759" s="173">
        <f t="shared" si="161"/>
        <v>0</v>
      </c>
      <c r="AS759" s="173">
        <f t="shared" si="161"/>
        <v>0</v>
      </c>
      <c r="AT759" s="173">
        <f>SUBTOTAL(9,AT739:AT758)</f>
        <v>0</v>
      </c>
      <c r="AU759" s="173">
        <f t="shared" si="161"/>
        <v>0</v>
      </c>
      <c r="AV759" s="173">
        <f t="shared" si="161"/>
        <v>0</v>
      </c>
      <c r="AW759" s="173">
        <f t="shared" si="161"/>
        <v>237.71565999999999</v>
      </c>
      <c r="AX759" s="173">
        <f t="shared" si="161"/>
        <v>118.85781999999999</v>
      </c>
      <c r="AY759" s="173">
        <f t="shared" si="161"/>
        <v>132.39759000000001</v>
      </c>
      <c r="AZ759" s="173">
        <f t="shared" si="161"/>
        <v>0</v>
      </c>
      <c r="BA759" s="173">
        <f t="shared" si="161"/>
        <v>0</v>
      </c>
      <c r="BB759" s="173">
        <f t="shared" si="161"/>
        <v>0</v>
      </c>
      <c r="BC759" s="173">
        <f t="shared" si="161"/>
        <v>0</v>
      </c>
      <c r="BD759" s="173">
        <f t="shared" si="161"/>
        <v>0</v>
      </c>
      <c r="BE759" s="173">
        <f t="shared" si="161"/>
        <v>4048.4355</v>
      </c>
      <c r="BF759" s="173">
        <f t="shared" si="161"/>
        <v>1578.6</v>
      </c>
      <c r="BG759" s="173">
        <f t="shared" si="161"/>
        <v>38.700000000000003</v>
      </c>
      <c r="BH759" s="173">
        <f t="shared" si="161"/>
        <v>17635.117149999998</v>
      </c>
      <c r="BI759" s="173">
        <f t="shared" si="161"/>
        <v>0</v>
      </c>
      <c r="BJ759" s="173">
        <f t="shared" si="161"/>
        <v>0</v>
      </c>
      <c r="BK759" s="173">
        <f t="shared" si="161"/>
        <v>0</v>
      </c>
      <c r="BL759" s="173">
        <f t="shared" si="161"/>
        <v>0</v>
      </c>
      <c r="BM759" s="174">
        <f>SUBTOTAL(9,BM739:BM758)</f>
        <v>0</v>
      </c>
      <c r="BN759" s="173">
        <f t="shared" si="161"/>
        <v>0</v>
      </c>
      <c r="BO759" s="173">
        <f t="shared" si="161"/>
        <v>460.68071999999995</v>
      </c>
      <c r="BP759" s="173">
        <f t="shared" si="161"/>
        <v>0</v>
      </c>
      <c r="BQ759" s="174">
        <f t="shared" si="161"/>
        <v>0</v>
      </c>
    </row>
    <row r="760" spans="1:270" ht="39.950000000000003" customHeight="1" outlineLevel="1" x14ac:dyDescent="0.3">
      <c r="A760" s="15" t="s">
        <v>968</v>
      </c>
      <c r="B760" s="14" t="s">
        <v>969</v>
      </c>
      <c r="C760" s="9" t="s">
        <v>30</v>
      </c>
      <c r="D760" s="66" t="s">
        <v>970</v>
      </c>
      <c r="E760" s="158">
        <f t="shared" ref="E760:E764" si="162">F760+G760</f>
        <v>1475.22091</v>
      </c>
      <c r="F760" s="159">
        <f>H760+L760+Q760+Y760+T760+AK760+AP760+AM760+AR760+AU760+AW760+BB760+BJ760</f>
        <v>471.62225000000001</v>
      </c>
      <c r="G760" s="160">
        <f>I760+J760+K760+M760+N760+R760+S760+V760+W760+AD760+O760+X760+Z760+AA760+AB760+AC760+AE760+AF760+P760+U760+AG760+AH760+AI760+AO760+AJ760+AL760+AQ760+AN760+AS760+AV760+AX760+AY760+AZ760+BA760+BC760+BD760+BE760+BF760+BG760+BH760+BI760+AT760+BK760+BL760+BN760+BO760+BP760+BQ760+BM760</f>
        <v>1003.5986600000001</v>
      </c>
      <c r="H760" s="166"/>
      <c r="I760" s="165"/>
      <c r="J760" s="160"/>
      <c r="K760" s="160"/>
      <c r="L760" s="166">
        <f>41.81318+350.33727</f>
        <v>392.15044999999998</v>
      </c>
      <c r="M760" s="165">
        <f>65.53448+549.08941</f>
        <v>614.62389000000007</v>
      </c>
      <c r="N760" s="165"/>
      <c r="O760" s="165"/>
      <c r="P760" s="160"/>
      <c r="Q760" s="166"/>
      <c r="R760" s="165"/>
      <c r="S760" s="165"/>
      <c r="T760" s="159"/>
      <c r="U760" s="160"/>
      <c r="V760" s="165"/>
      <c r="W760" s="165"/>
      <c r="X760" s="160"/>
      <c r="Y760" s="166">
        <v>79.471800000000002</v>
      </c>
      <c r="Z760" s="160">
        <v>26.490600000000001</v>
      </c>
      <c r="AA760" s="160">
        <v>362.48417000000001</v>
      </c>
      <c r="AB760" s="165"/>
      <c r="AC760" s="165"/>
      <c r="AD760" s="165"/>
      <c r="AE760" s="165"/>
      <c r="AF760" s="160"/>
      <c r="AG760" s="160"/>
      <c r="AH760" s="160"/>
      <c r="AI760" s="160"/>
      <c r="AJ760" s="161"/>
      <c r="AK760" s="162"/>
      <c r="AL760" s="165"/>
      <c r="AM760" s="166"/>
      <c r="AN760" s="165"/>
      <c r="AO760" s="160"/>
      <c r="AP760" s="162"/>
      <c r="AQ760" s="161"/>
      <c r="AR760" s="162"/>
      <c r="AS760" s="161"/>
      <c r="AT760" s="165"/>
      <c r="AU760" s="166"/>
      <c r="AV760" s="165"/>
      <c r="AW760" s="166"/>
      <c r="AX760" s="165"/>
      <c r="AY760" s="165"/>
      <c r="AZ760" s="165"/>
      <c r="BA760" s="165"/>
      <c r="BB760" s="166"/>
      <c r="BC760" s="165"/>
      <c r="BD760" s="165"/>
      <c r="BE760" s="165"/>
      <c r="BF760" s="165"/>
      <c r="BG760" s="165"/>
      <c r="BH760" s="165"/>
      <c r="BI760" s="165"/>
      <c r="BJ760" s="166"/>
      <c r="BK760" s="165"/>
      <c r="BL760" s="165"/>
      <c r="BM760" s="163"/>
      <c r="BN760" s="165"/>
      <c r="BO760" s="165"/>
      <c r="BP760" s="165"/>
      <c r="BQ760" s="167"/>
    </row>
    <row r="761" spans="1:270" ht="39.950000000000003" customHeight="1" outlineLevel="1" x14ac:dyDescent="0.3">
      <c r="A761" s="15" t="s">
        <v>968</v>
      </c>
      <c r="B761" s="14" t="s">
        <v>1146</v>
      </c>
      <c r="C761" s="9" t="s">
        <v>30</v>
      </c>
      <c r="D761" s="9" t="s">
        <v>1252</v>
      </c>
      <c r="E761" s="158">
        <f t="shared" si="162"/>
        <v>158.08000000000001</v>
      </c>
      <c r="F761" s="159">
        <f>H761+L761+Q761+Y761+T761+AK761+AP761+AM761+AR761+AU761+AW761+BB761+BJ761</f>
        <v>0</v>
      </c>
      <c r="G761" s="160">
        <f>I761+J761+K761+M761+N761+R761+S761+V761+W761+AD761+O761+X761+Z761+AA761+AB761+AC761+AE761+AF761+P761+U761+AG761+AH761+AI761+AO761+AJ761+AL761+AQ761+AN761+AS761+AV761+AX761+AY761+AZ761+BA761+BC761+BD761+BE761+BF761+BG761+BH761+BI761+AT761+BK761+BL761+BN761+BO761+BP761+BQ761+BM761</f>
        <v>158.08000000000001</v>
      </c>
      <c r="H761" s="166"/>
      <c r="I761" s="165"/>
      <c r="J761" s="160"/>
      <c r="K761" s="160"/>
      <c r="L761" s="166"/>
      <c r="M761" s="165"/>
      <c r="N761" s="165"/>
      <c r="O761" s="165"/>
      <c r="P761" s="160"/>
      <c r="Q761" s="166"/>
      <c r="R761" s="165"/>
      <c r="S761" s="165"/>
      <c r="T761" s="159"/>
      <c r="U761" s="160"/>
      <c r="V761" s="165"/>
      <c r="W761" s="165">
        <v>158.08000000000001</v>
      </c>
      <c r="X761" s="160"/>
      <c r="Y761" s="166"/>
      <c r="Z761" s="160"/>
      <c r="AA761" s="160"/>
      <c r="AB761" s="165"/>
      <c r="AC761" s="165"/>
      <c r="AD761" s="165"/>
      <c r="AE761" s="165"/>
      <c r="AF761" s="160"/>
      <c r="AG761" s="160"/>
      <c r="AH761" s="160"/>
      <c r="AI761" s="160"/>
      <c r="AJ761" s="161"/>
      <c r="AK761" s="162"/>
      <c r="AL761" s="165"/>
      <c r="AM761" s="166"/>
      <c r="AN761" s="165"/>
      <c r="AO761" s="160"/>
      <c r="AP761" s="162"/>
      <c r="AQ761" s="161"/>
      <c r="AR761" s="162"/>
      <c r="AS761" s="161"/>
      <c r="AT761" s="165"/>
      <c r="AU761" s="166"/>
      <c r="AV761" s="165"/>
      <c r="AW761" s="166"/>
      <c r="AX761" s="165"/>
      <c r="AY761" s="165"/>
      <c r="AZ761" s="165"/>
      <c r="BA761" s="165"/>
      <c r="BB761" s="166"/>
      <c r="BC761" s="165"/>
      <c r="BD761" s="165"/>
      <c r="BE761" s="165"/>
      <c r="BF761" s="165"/>
      <c r="BG761" s="165"/>
      <c r="BH761" s="165"/>
      <c r="BI761" s="165"/>
      <c r="BJ761" s="166"/>
      <c r="BK761" s="165"/>
      <c r="BL761" s="165"/>
      <c r="BM761" s="163"/>
      <c r="BN761" s="165"/>
      <c r="BO761" s="165"/>
      <c r="BP761" s="165"/>
      <c r="BQ761" s="167"/>
    </row>
    <row r="762" spans="1:270" ht="39.950000000000003" customHeight="1" outlineLevel="1" x14ac:dyDescent="0.3">
      <c r="A762" s="15" t="s">
        <v>968</v>
      </c>
      <c r="B762" s="14" t="s">
        <v>971</v>
      </c>
      <c r="C762" s="9" t="s">
        <v>30</v>
      </c>
      <c r="D762" s="66" t="s">
        <v>972</v>
      </c>
      <c r="E762" s="158">
        <f t="shared" si="162"/>
        <v>274.56</v>
      </c>
      <c r="F762" s="159">
        <f>H762+L762+Q762+Y762+T762+AK762+AP762+AM762+AR762+AU762+AW762+BB762+BJ762</f>
        <v>0</v>
      </c>
      <c r="G762" s="160">
        <f>I762+J762+K762+M762+N762+R762+S762+V762+W762+AD762+O762+X762+Z762+AA762+AB762+AC762+AE762+AF762+P762+U762+AG762+AH762+AI762+AO762+AJ762+AL762+AQ762+AN762+AS762+AV762+AX762+AY762+AZ762+BA762+BC762+BD762+BE762+BF762+BG762+BH762+BI762+AT762+BK762+BL762+BN762+BO762+BP762+BQ762+BM762</f>
        <v>274.56</v>
      </c>
      <c r="H762" s="166"/>
      <c r="I762" s="165"/>
      <c r="J762" s="160"/>
      <c r="K762" s="160"/>
      <c r="L762" s="166"/>
      <c r="M762" s="165"/>
      <c r="N762" s="165"/>
      <c r="O762" s="165"/>
      <c r="P762" s="160"/>
      <c r="Q762" s="166"/>
      <c r="R762" s="165"/>
      <c r="S762" s="165"/>
      <c r="T762" s="159"/>
      <c r="U762" s="160"/>
      <c r="V762" s="165"/>
      <c r="W762" s="165">
        <v>274.56</v>
      </c>
      <c r="X762" s="160"/>
      <c r="Y762" s="166"/>
      <c r="Z762" s="160"/>
      <c r="AA762" s="160"/>
      <c r="AB762" s="165"/>
      <c r="AC762" s="165"/>
      <c r="AD762" s="165"/>
      <c r="AE762" s="165"/>
      <c r="AF762" s="160"/>
      <c r="AG762" s="160"/>
      <c r="AH762" s="160"/>
      <c r="AI762" s="160"/>
      <c r="AJ762" s="161"/>
      <c r="AK762" s="162"/>
      <c r="AL762" s="165"/>
      <c r="AM762" s="166"/>
      <c r="AN762" s="165"/>
      <c r="AO762" s="160"/>
      <c r="AP762" s="162"/>
      <c r="AQ762" s="161"/>
      <c r="AR762" s="162"/>
      <c r="AS762" s="161"/>
      <c r="AT762" s="165"/>
      <c r="AU762" s="166"/>
      <c r="AV762" s="165"/>
      <c r="AW762" s="166"/>
      <c r="AX762" s="165"/>
      <c r="AY762" s="165"/>
      <c r="AZ762" s="165"/>
      <c r="BA762" s="165"/>
      <c r="BB762" s="166"/>
      <c r="BC762" s="165"/>
      <c r="BD762" s="165"/>
      <c r="BE762" s="165"/>
      <c r="BF762" s="165"/>
      <c r="BG762" s="165"/>
      <c r="BH762" s="165"/>
      <c r="BI762" s="165"/>
      <c r="BJ762" s="166"/>
      <c r="BK762" s="165"/>
      <c r="BL762" s="165"/>
      <c r="BM762" s="163"/>
      <c r="BN762" s="165"/>
      <c r="BO762" s="165"/>
      <c r="BP762" s="165"/>
      <c r="BQ762" s="167"/>
    </row>
    <row r="763" spans="1:270" ht="39.950000000000003" customHeight="1" outlineLevel="1" x14ac:dyDescent="0.3">
      <c r="A763" s="15" t="s">
        <v>968</v>
      </c>
      <c r="B763" s="14" t="s">
        <v>973</v>
      </c>
      <c r="C763" s="9" t="s">
        <v>30</v>
      </c>
      <c r="D763" s="66" t="s">
        <v>974</v>
      </c>
      <c r="E763" s="158">
        <f t="shared" si="162"/>
        <v>1696.2474999999999</v>
      </c>
      <c r="F763" s="159">
        <f>H763+L763+Q763+Y763+T763+AK763+AP763+AM763+AR763+AU763+AW763+BB763+BJ763</f>
        <v>521.44186000000002</v>
      </c>
      <c r="G763" s="160">
        <f>I763+J763+K763+M763+N763+R763+S763+V763+W763+AD763+O763+X763+Z763+AA763+AB763+AC763+AE763+AF763+P763+U763+AG763+AH763+AI763+AO763+AJ763+AL763+AQ763+AN763+AS763+AV763+AX763+AY763+AZ763+BA763+BC763+BD763+BE763+BF763+BG763+BH763+BI763+AT763+BK763+BL763+BN763+BO763+BP763+BQ763+BM763</f>
        <v>1174.80564</v>
      </c>
      <c r="H763" s="166"/>
      <c r="I763" s="165"/>
      <c r="J763" s="160"/>
      <c r="K763" s="160"/>
      <c r="L763" s="166">
        <v>521.23681999999997</v>
      </c>
      <c r="M763" s="165">
        <v>816.94312000000002</v>
      </c>
      <c r="N763" s="165"/>
      <c r="O763" s="165"/>
      <c r="P763" s="160"/>
      <c r="Q763" s="166"/>
      <c r="R763" s="165"/>
      <c r="S763" s="165"/>
      <c r="T763" s="159"/>
      <c r="U763" s="160"/>
      <c r="V763" s="165"/>
      <c r="W763" s="165">
        <v>357.76</v>
      </c>
      <c r="X763" s="160"/>
      <c r="Y763" s="166"/>
      <c r="Z763" s="160"/>
      <c r="AA763" s="160"/>
      <c r="AB763" s="165"/>
      <c r="AC763" s="165"/>
      <c r="AD763" s="165"/>
      <c r="AE763" s="165"/>
      <c r="AF763" s="160"/>
      <c r="AG763" s="160"/>
      <c r="AH763" s="160"/>
      <c r="AI763" s="160"/>
      <c r="AJ763" s="161"/>
      <c r="AK763" s="162"/>
      <c r="AL763" s="165"/>
      <c r="AM763" s="166"/>
      <c r="AN763" s="165"/>
      <c r="AO763" s="160"/>
      <c r="AP763" s="162"/>
      <c r="AQ763" s="161"/>
      <c r="AR763" s="162"/>
      <c r="AS763" s="161"/>
      <c r="AT763" s="165"/>
      <c r="AU763" s="166"/>
      <c r="AV763" s="165"/>
      <c r="AW763" s="166">
        <v>0.20504</v>
      </c>
      <c r="AX763" s="165">
        <f>0.04127+0.06125</f>
        <v>0.10252</v>
      </c>
      <c r="AY763" s="165"/>
      <c r="AZ763" s="165"/>
      <c r="BA763" s="165"/>
      <c r="BB763" s="166"/>
      <c r="BC763" s="165"/>
      <c r="BD763" s="165"/>
      <c r="BE763" s="165"/>
      <c r="BF763" s="165"/>
      <c r="BG763" s="165"/>
      <c r="BH763" s="165"/>
      <c r="BI763" s="165"/>
      <c r="BJ763" s="166"/>
      <c r="BK763" s="165"/>
      <c r="BL763" s="165"/>
      <c r="BM763" s="163"/>
      <c r="BN763" s="165"/>
      <c r="BO763" s="165"/>
      <c r="BP763" s="165"/>
      <c r="BQ763" s="167"/>
    </row>
    <row r="764" spans="1:270" ht="39.950000000000003" customHeight="1" outlineLevel="1" x14ac:dyDescent="0.3">
      <c r="A764" s="15" t="s">
        <v>968</v>
      </c>
      <c r="B764" s="14" t="s">
        <v>975</v>
      </c>
      <c r="C764" s="9" t="s">
        <v>30</v>
      </c>
      <c r="D764" s="66" t="s">
        <v>976</v>
      </c>
      <c r="E764" s="158">
        <f t="shared" si="162"/>
        <v>930.51185000000009</v>
      </c>
      <c r="F764" s="159">
        <f>H764+L764+Q764+Y764+T764+AK764+AP764+AM764+AR764+AU764+AW764+BB764+BJ764</f>
        <v>362.44531000000001</v>
      </c>
      <c r="G764" s="160">
        <f>I764+J764+K764+M764+N764+R764+S764+V764+W764+AD764+O764+X764+Z764+AA764+AB764+AC764+AE764+AF764+P764+U764+AG764+AH764+AI764+AO764+AJ764+AL764+AQ764+AN764+AS764+AV764+AX764+AY764+AZ764+BA764+BC764+BD764+BE764+BF764+BG764+BH764+BI764+AT764+BK764+BL764+BN764+BO764+BP764+BQ764+BM764</f>
        <v>568.06654000000003</v>
      </c>
      <c r="H764" s="166"/>
      <c r="I764" s="165"/>
      <c r="J764" s="160"/>
      <c r="K764" s="160"/>
      <c r="L764" s="166">
        <f>91.94973+270.49558</f>
        <v>362.44531000000001</v>
      </c>
      <c r="M764" s="165">
        <f>144.11433+423.95221</f>
        <v>568.06654000000003</v>
      </c>
      <c r="N764" s="165"/>
      <c r="O764" s="165"/>
      <c r="P764" s="160"/>
      <c r="Q764" s="166"/>
      <c r="R764" s="165"/>
      <c r="S764" s="165"/>
      <c r="T764" s="159"/>
      <c r="U764" s="160"/>
      <c r="V764" s="165"/>
      <c r="W764" s="165"/>
      <c r="X764" s="160"/>
      <c r="Y764" s="166"/>
      <c r="Z764" s="160"/>
      <c r="AA764" s="160"/>
      <c r="AB764" s="165"/>
      <c r="AC764" s="165"/>
      <c r="AD764" s="165"/>
      <c r="AE764" s="165"/>
      <c r="AF764" s="160"/>
      <c r="AG764" s="160"/>
      <c r="AH764" s="160"/>
      <c r="AI764" s="160"/>
      <c r="AJ764" s="161"/>
      <c r="AK764" s="162"/>
      <c r="AL764" s="165"/>
      <c r="AM764" s="166"/>
      <c r="AN764" s="165"/>
      <c r="AO764" s="160"/>
      <c r="AP764" s="162"/>
      <c r="AQ764" s="161"/>
      <c r="AR764" s="162"/>
      <c r="AS764" s="161"/>
      <c r="AT764" s="165"/>
      <c r="AU764" s="166"/>
      <c r="AV764" s="165"/>
      <c r="AW764" s="166"/>
      <c r="AX764" s="165"/>
      <c r="AY764" s="165"/>
      <c r="AZ764" s="165"/>
      <c r="BA764" s="165"/>
      <c r="BB764" s="166"/>
      <c r="BC764" s="165"/>
      <c r="BD764" s="165"/>
      <c r="BE764" s="165"/>
      <c r="BF764" s="165"/>
      <c r="BG764" s="165"/>
      <c r="BH764" s="165"/>
      <c r="BI764" s="165"/>
      <c r="BJ764" s="166"/>
      <c r="BK764" s="165"/>
      <c r="BL764" s="165"/>
      <c r="BM764" s="163"/>
      <c r="BN764" s="165"/>
      <c r="BO764" s="165"/>
      <c r="BP764" s="165"/>
      <c r="BQ764" s="167"/>
    </row>
    <row r="765" spans="1:270" s="34" customFormat="1" ht="39.950000000000003" customHeight="1" x14ac:dyDescent="0.3">
      <c r="A765" s="118" t="s">
        <v>977</v>
      </c>
      <c r="B765" s="120"/>
      <c r="C765" s="116" t="s">
        <v>80</v>
      </c>
      <c r="D765" s="117"/>
      <c r="E765" s="173">
        <f>SUBTOTAL(9,E760:E764)</f>
        <v>4534.6202599999997</v>
      </c>
      <c r="F765" s="173">
        <f t="shared" ref="F765:G765" si="163">SUBTOTAL(9,F760:F764)</f>
        <v>1355.5094200000001</v>
      </c>
      <c r="G765" s="173">
        <f t="shared" si="163"/>
        <v>3179.1108400000003</v>
      </c>
      <c r="H765" s="173">
        <f t="shared" ref="H765:BP765" si="164">SUBTOTAL(9,H760:H764)</f>
        <v>0</v>
      </c>
      <c r="I765" s="173">
        <f t="shared" si="164"/>
        <v>0</v>
      </c>
      <c r="J765" s="173">
        <f t="shared" si="164"/>
        <v>0</v>
      </c>
      <c r="K765" s="173">
        <f t="shared" si="164"/>
        <v>0</v>
      </c>
      <c r="L765" s="173">
        <f t="shared" si="164"/>
        <v>1275.83258</v>
      </c>
      <c r="M765" s="173">
        <f t="shared" si="164"/>
        <v>1999.6335500000002</v>
      </c>
      <c r="N765" s="173">
        <f t="shared" si="164"/>
        <v>0</v>
      </c>
      <c r="O765" s="173">
        <f>SUBTOTAL(9,O760:O764)</f>
        <v>0</v>
      </c>
      <c r="P765" s="173">
        <f>SUBTOTAL(9,P760:P764)</f>
        <v>0</v>
      </c>
      <c r="Q765" s="173">
        <f t="shared" si="164"/>
        <v>0</v>
      </c>
      <c r="R765" s="173">
        <f t="shared" si="164"/>
        <v>0</v>
      </c>
      <c r="S765" s="173">
        <f t="shared" si="164"/>
        <v>0</v>
      </c>
      <c r="T765" s="173">
        <f>SUBTOTAL(9,T760:T764)</f>
        <v>0</v>
      </c>
      <c r="U765" s="173">
        <f>SUBTOTAL(9,U760:U764)</f>
        <v>0</v>
      </c>
      <c r="V765" s="173">
        <f t="shared" si="164"/>
        <v>0</v>
      </c>
      <c r="W765" s="173">
        <f t="shared" si="164"/>
        <v>790.4</v>
      </c>
      <c r="X765" s="173">
        <f>SUBTOTAL(9,X760:X764)</f>
        <v>0</v>
      </c>
      <c r="Y765" s="173">
        <f t="shared" si="164"/>
        <v>79.471800000000002</v>
      </c>
      <c r="Z765" s="173">
        <f t="shared" si="164"/>
        <v>26.490600000000001</v>
      </c>
      <c r="AA765" s="173">
        <f t="shared" si="164"/>
        <v>362.48417000000001</v>
      </c>
      <c r="AB765" s="173">
        <f t="shared" si="164"/>
        <v>0</v>
      </c>
      <c r="AC765" s="173">
        <f t="shared" si="164"/>
        <v>0</v>
      </c>
      <c r="AD765" s="173">
        <f>SUBTOTAL(9,AD760:AD764)</f>
        <v>0</v>
      </c>
      <c r="AE765" s="173">
        <f t="shared" si="164"/>
        <v>0</v>
      </c>
      <c r="AF765" s="173">
        <f t="shared" si="164"/>
        <v>0</v>
      </c>
      <c r="AG765" s="173">
        <f t="shared" si="164"/>
        <v>0</v>
      </c>
      <c r="AH765" s="173">
        <f t="shared" si="164"/>
        <v>0</v>
      </c>
      <c r="AI765" s="173">
        <f t="shared" si="164"/>
        <v>0</v>
      </c>
      <c r="AJ765" s="173">
        <f t="shared" si="164"/>
        <v>0</v>
      </c>
      <c r="AK765" s="173">
        <f t="shared" si="164"/>
        <v>0</v>
      </c>
      <c r="AL765" s="173">
        <f t="shared" si="164"/>
        <v>0</v>
      </c>
      <c r="AM765" s="173">
        <f>SUBTOTAL(9,AM760:AM764)</f>
        <v>0</v>
      </c>
      <c r="AN765" s="173">
        <f>SUBTOTAL(9,AN760:AN764)</f>
        <v>0</v>
      </c>
      <c r="AO765" s="173">
        <f>SUBTOTAL(9,AO760:AO764)</f>
        <v>0</v>
      </c>
      <c r="AP765" s="173">
        <f t="shared" si="164"/>
        <v>0</v>
      </c>
      <c r="AQ765" s="173">
        <f t="shared" si="164"/>
        <v>0</v>
      </c>
      <c r="AR765" s="173">
        <f t="shared" si="164"/>
        <v>0</v>
      </c>
      <c r="AS765" s="173">
        <f t="shared" si="164"/>
        <v>0</v>
      </c>
      <c r="AT765" s="173">
        <f>SUBTOTAL(9,AT760:AT764)</f>
        <v>0</v>
      </c>
      <c r="AU765" s="173">
        <f t="shared" si="164"/>
        <v>0</v>
      </c>
      <c r="AV765" s="173">
        <f t="shared" si="164"/>
        <v>0</v>
      </c>
      <c r="AW765" s="173">
        <f t="shared" si="164"/>
        <v>0.20504</v>
      </c>
      <c r="AX765" s="173">
        <f t="shared" si="164"/>
        <v>0.10252</v>
      </c>
      <c r="AY765" s="173">
        <f t="shared" si="164"/>
        <v>0</v>
      </c>
      <c r="AZ765" s="173">
        <f t="shared" si="164"/>
        <v>0</v>
      </c>
      <c r="BA765" s="173">
        <f t="shared" si="164"/>
        <v>0</v>
      </c>
      <c r="BB765" s="173">
        <f t="shared" si="164"/>
        <v>0</v>
      </c>
      <c r="BC765" s="173">
        <f t="shared" si="164"/>
        <v>0</v>
      </c>
      <c r="BD765" s="173">
        <f t="shared" si="164"/>
        <v>0</v>
      </c>
      <c r="BE765" s="173">
        <f t="shared" si="164"/>
        <v>0</v>
      </c>
      <c r="BF765" s="173">
        <f t="shared" si="164"/>
        <v>0</v>
      </c>
      <c r="BG765" s="173">
        <f t="shared" si="164"/>
        <v>0</v>
      </c>
      <c r="BH765" s="173">
        <f t="shared" si="164"/>
        <v>0</v>
      </c>
      <c r="BI765" s="173">
        <f t="shared" si="164"/>
        <v>0</v>
      </c>
      <c r="BJ765" s="173">
        <f t="shared" si="164"/>
        <v>0</v>
      </c>
      <c r="BK765" s="173">
        <f t="shared" si="164"/>
        <v>0</v>
      </c>
      <c r="BL765" s="173">
        <f t="shared" si="164"/>
        <v>0</v>
      </c>
      <c r="BM765" s="174">
        <f>SUBTOTAL(9,BM760:BM764)</f>
        <v>0</v>
      </c>
      <c r="BN765" s="173">
        <f t="shared" si="164"/>
        <v>0</v>
      </c>
      <c r="BO765" s="173">
        <f t="shared" si="164"/>
        <v>0</v>
      </c>
      <c r="BP765" s="173">
        <f t="shared" si="164"/>
        <v>0</v>
      </c>
      <c r="BQ765" s="174">
        <f t="shared" ref="BQ765" si="165">SUBTOTAL(9,BQ760:BQ764)</f>
        <v>0</v>
      </c>
      <c r="BR765" s="40"/>
      <c r="BS765" s="40"/>
      <c r="BT765" s="40"/>
      <c r="BU765" s="40"/>
      <c r="BV765" s="40"/>
      <c r="BW765" s="40"/>
      <c r="BX765" s="40"/>
      <c r="BY765" s="40"/>
      <c r="BZ765" s="40"/>
      <c r="CA765" s="40"/>
      <c r="CB765" s="40"/>
      <c r="CC765" s="40"/>
      <c r="CD765" s="40"/>
      <c r="CE765" s="40"/>
      <c r="CF765" s="40"/>
      <c r="CG765" s="40"/>
      <c r="CH765" s="40"/>
      <c r="CI765" s="40"/>
      <c r="CJ765" s="40"/>
      <c r="CK765" s="40"/>
      <c r="CL765" s="40"/>
      <c r="CM765" s="40"/>
      <c r="CN765" s="40"/>
      <c r="CO765" s="40"/>
      <c r="CP765" s="40"/>
      <c r="CQ765" s="40"/>
      <c r="CR765" s="40"/>
      <c r="CS765" s="40"/>
      <c r="CT765" s="40"/>
      <c r="CU765" s="40"/>
      <c r="CV765" s="40"/>
      <c r="CW765" s="40"/>
      <c r="CX765" s="40"/>
      <c r="CY765" s="40"/>
      <c r="CZ765" s="40"/>
      <c r="DA765" s="40"/>
      <c r="DB765" s="40"/>
      <c r="DC765" s="40"/>
      <c r="DD765" s="40"/>
      <c r="DE765" s="40"/>
      <c r="DF765" s="40"/>
      <c r="DG765" s="40"/>
      <c r="DH765" s="40"/>
      <c r="DI765" s="40"/>
      <c r="DJ765" s="40"/>
      <c r="DK765" s="40"/>
      <c r="DL765" s="40"/>
      <c r="DM765" s="40"/>
      <c r="DN765" s="40"/>
      <c r="DO765" s="40"/>
      <c r="DP765" s="40"/>
      <c r="DQ765" s="40"/>
      <c r="DR765" s="40"/>
      <c r="DS765" s="40"/>
      <c r="DT765" s="40"/>
      <c r="DU765" s="40"/>
      <c r="DV765" s="40"/>
      <c r="DW765" s="40"/>
      <c r="DX765" s="40"/>
      <c r="DY765" s="40"/>
      <c r="DZ765" s="40"/>
      <c r="EA765" s="40"/>
      <c r="EB765" s="40"/>
      <c r="EC765" s="40"/>
      <c r="ED765" s="40"/>
      <c r="EE765" s="40"/>
      <c r="EF765" s="40"/>
      <c r="EG765" s="40"/>
      <c r="EH765" s="40"/>
      <c r="EI765" s="40"/>
      <c r="EJ765" s="40"/>
      <c r="EK765" s="40"/>
      <c r="EL765" s="40"/>
      <c r="EM765" s="40"/>
      <c r="EN765" s="40"/>
      <c r="EO765" s="40"/>
      <c r="EP765" s="40"/>
      <c r="EQ765" s="40"/>
      <c r="ER765" s="40"/>
      <c r="ES765" s="40"/>
      <c r="ET765" s="40"/>
      <c r="EU765" s="40"/>
      <c r="EV765" s="40"/>
      <c r="EW765" s="40"/>
      <c r="EX765" s="40"/>
      <c r="EY765" s="40"/>
      <c r="EZ765" s="40"/>
      <c r="FA765" s="40"/>
      <c r="FB765" s="40"/>
      <c r="FC765" s="40"/>
      <c r="FD765" s="40"/>
      <c r="FE765" s="40"/>
      <c r="FF765" s="40"/>
      <c r="FG765" s="40"/>
      <c r="FH765" s="40"/>
      <c r="FI765" s="40"/>
      <c r="FJ765" s="40"/>
      <c r="FK765" s="40"/>
      <c r="FL765" s="40"/>
      <c r="FM765" s="40"/>
      <c r="FN765" s="40"/>
      <c r="FO765" s="40"/>
      <c r="FP765" s="40"/>
      <c r="FQ765" s="40"/>
      <c r="FR765" s="40"/>
      <c r="FS765" s="40"/>
      <c r="FT765" s="40"/>
      <c r="FU765" s="40"/>
      <c r="FV765" s="40"/>
      <c r="FW765" s="40"/>
      <c r="FX765" s="40"/>
      <c r="FY765" s="40"/>
      <c r="FZ765" s="40"/>
      <c r="GA765" s="40"/>
      <c r="GB765" s="40"/>
      <c r="GC765" s="40"/>
      <c r="GD765" s="40"/>
      <c r="GE765" s="40"/>
      <c r="GF765" s="40"/>
      <c r="GG765" s="40"/>
      <c r="GH765" s="40"/>
      <c r="GI765" s="40"/>
      <c r="GJ765" s="40"/>
      <c r="GK765" s="40"/>
      <c r="GL765" s="40"/>
      <c r="GM765" s="40"/>
      <c r="GN765" s="40"/>
      <c r="GO765" s="40"/>
      <c r="GP765" s="40"/>
      <c r="GQ765" s="40"/>
      <c r="GR765" s="40"/>
      <c r="GS765" s="40"/>
      <c r="GT765" s="40"/>
      <c r="GU765" s="40"/>
      <c r="GV765" s="40"/>
      <c r="GW765" s="40"/>
      <c r="GX765" s="40"/>
      <c r="GY765" s="40"/>
      <c r="GZ765" s="40"/>
      <c r="HA765" s="40"/>
      <c r="HB765" s="40"/>
      <c r="HC765" s="40"/>
      <c r="HD765" s="40"/>
      <c r="HE765" s="40"/>
      <c r="HF765" s="40"/>
      <c r="HG765" s="40"/>
      <c r="HH765" s="40"/>
      <c r="HI765" s="40"/>
      <c r="HJ765" s="40"/>
      <c r="HK765" s="40"/>
      <c r="HL765" s="40"/>
      <c r="HM765" s="40"/>
      <c r="HN765" s="40"/>
      <c r="HO765" s="40"/>
      <c r="HP765" s="40"/>
      <c r="HQ765" s="40"/>
      <c r="HR765" s="40"/>
      <c r="HS765" s="40"/>
      <c r="HT765" s="40"/>
      <c r="HU765" s="40"/>
      <c r="HV765" s="40"/>
      <c r="HW765" s="40"/>
      <c r="HX765" s="40"/>
      <c r="HY765" s="40"/>
      <c r="HZ765" s="40"/>
      <c r="IA765" s="40"/>
      <c r="IB765" s="40"/>
      <c r="IC765" s="40"/>
      <c r="ID765" s="40"/>
      <c r="IE765" s="40"/>
      <c r="IF765" s="40"/>
      <c r="IG765" s="40"/>
      <c r="IH765" s="40"/>
      <c r="II765" s="40"/>
      <c r="IJ765" s="40"/>
      <c r="IK765" s="40"/>
      <c r="IL765" s="40"/>
      <c r="IM765" s="40"/>
      <c r="IN765" s="40"/>
      <c r="IO765" s="40"/>
      <c r="IP765" s="40"/>
      <c r="IQ765" s="40"/>
      <c r="IR765" s="40"/>
      <c r="IS765" s="40"/>
      <c r="IT765" s="40"/>
      <c r="IU765" s="40"/>
      <c r="IV765" s="40"/>
      <c r="IW765" s="40"/>
      <c r="IX765" s="40"/>
      <c r="IY765" s="40"/>
      <c r="IZ765" s="40"/>
      <c r="JA765" s="40"/>
      <c r="JB765" s="40"/>
      <c r="JC765" s="40"/>
      <c r="JD765" s="40"/>
      <c r="JE765" s="40"/>
      <c r="JF765" s="40"/>
      <c r="JG765" s="40"/>
      <c r="JH765" s="40"/>
      <c r="JI765" s="40"/>
      <c r="JJ765" s="40"/>
    </row>
    <row r="766" spans="1:270" ht="39.950000000000003" customHeight="1" outlineLevel="1" x14ac:dyDescent="0.3">
      <c r="A766" s="17" t="s">
        <v>978</v>
      </c>
      <c r="B766" s="12" t="s">
        <v>1489</v>
      </c>
      <c r="C766" s="9" t="s">
        <v>30</v>
      </c>
      <c r="D766" s="66">
        <v>243905270151</v>
      </c>
      <c r="E766" s="158">
        <f t="shared" ref="E766:E793" si="166">F766+G766</f>
        <v>3543</v>
      </c>
      <c r="F766" s="159">
        <f t="shared" ref="F766:F793" si="167">H766+L766+Q766+Y766+T766+AK766+AP766+AM766+AR766+AU766+AW766+BB766+BJ766</f>
        <v>0</v>
      </c>
      <c r="G766" s="160">
        <f t="shared" ref="G766:G793" si="168">I766+J766+K766+M766+N766+R766+S766+V766+W766+AD766+O766+X766+Z766+AA766+AB766+AC766+AE766+AF766+P766+U766+AG766+AH766+AI766+AO766+AJ766+AL766+AQ766+AN766+AS766+AV766+AX766+AY766+AZ766+BA766+BC766+BD766+BE766+BF766+BG766+BH766+BI766+AT766+BK766+BL766+BN766+BO766+BP766+BQ766+BM766</f>
        <v>3543</v>
      </c>
      <c r="H766" s="166"/>
      <c r="I766" s="165"/>
      <c r="J766" s="160"/>
      <c r="K766" s="160"/>
      <c r="L766" s="166"/>
      <c r="M766" s="165"/>
      <c r="N766" s="165"/>
      <c r="O766" s="165"/>
      <c r="P766" s="160"/>
      <c r="Q766" s="166"/>
      <c r="R766" s="165"/>
      <c r="S766" s="165">
        <v>543</v>
      </c>
      <c r="T766" s="159"/>
      <c r="U766" s="160"/>
      <c r="V766" s="165"/>
      <c r="W766" s="165"/>
      <c r="X766" s="160"/>
      <c r="Y766" s="166"/>
      <c r="Z766" s="160"/>
      <c r="AA766" s="160"/>
      <c r="AB766" s="165"/>
      <c r="AC766" s="165"/>
      <c r="AD766" s="165"/>
      <c r="AE766" s="165"/>
      <c r="AF766" s="160"/>
      <c r="AG766" s="160"/>
      <c r="AH766" s="160"/>
      <c r="AI766" s="160"/>
      <c r="AJ766" s="161"/>
      <c r="AK766" s="162"/>
      <c r="AL766" s="165"/>
      <c r="AM766" s="166"/>
      <c r="AN766" s="165"/>
      <c r="AO766" s="160"/>
      <c r="AP766" s="162"/>
      <c r="AQ766" s="161"/>
      <c r="AR766" s="162"/>
      <c r="AS766" s="161"/>
      <c r="AT766" s="165"/>
      <c r="AU766" s="166"/>
      <c r="AV766" s="165"/>
      <c r="AW766" s="166"/>
      <c r="AX766" s="165"/>
      <c r="AY766" s="165"/>
      <c r="AZ766" s="165"/>
      <c r="BA766" s="165"/>
      <c r="BB766" s="166"/>
      <c r="BC766" s="165"/>
      <c r="BD766" s="165"/>
      <c r="BE766" s="165"/>
      <c r="BF766" s="165"/>
      <c r="BG766" s="165"/>
      <c r="BH766" s="165">
        <v>3000</v>
      </c>
      <c r="BI766" s="165"/>
      <c r="BJ766" s="166"/>
      <c r="BK766" s="165"/>
      <c r="BL766" s="165"/>
      <c r="BM766" s="163"/>
      <c r="BN766" s="165"/>
      <c r="BO766" s="165"/>
      <c r="BP766" s="165"/>
      <c r="BQ766" s="167"/>
    </row>
    <row r="767" spans="1:270" ht="39.950000000000003" customHeight="1" outlineLevel="1" x14ac:dyDescent="0.3">
      <c r="A767" s="17" t="s">
        <v>978</v>
      </c>
      <c r="B767" s="12" t="s">
        <v>995</v>
      </c>
      <c r="C767" s="9" t="s">
        <v>30</v>
      </c>
      <c r="D767" s="66" t="s">
        <v>996</v>
      </c>
      <c r="E767" s="158">
        <f t="shared" si="166"/>
        <v>2176.9221200000002</v>
      </c>
      <c r="F767" s="159">
        <f t="shared" si="167"/>
        <v>1513.9297799999999</v>
      </c>
      <c r="G767" s="160">
        <f t="shared" si="168"/>
        <v>662.99234000000001</v>
      </c>
      <c r="H767" s="166">
        <v>1385.60625</v>
      </c>
      <c r="I767" s="165">
        <v>461.86874999999998</v>
      </c>
      <c r="J767" s="160"/>
      <c r="K767" s="160"/>
      <c r="L767" s="166">
        <v>128.32353000000001</v>
      </c>
      <c r="M767" s="165">
        <v>201.12359000000001</v>
      </c>
      <c r="N767" s="165"/>
      <c r="O767" s="165"/>
      <c r="P767" s="160"/>
      <c r="Q767" s="166"/>
      <c r="R767" s="165"/>
      <c r="S767" s="165"/>
      <c r="T767" s="159"/>
      <c r="U767" s="160"/>
      <c r="V767" s="165"/>
      <c r="W767" s="165"/>
      <c r="X767" s="160"/>
      <c r="Y767" s="166"/>
      <c r="Z767" s="160"/>
      <c r="AA767" s="160"/>
      <c r="AB767" s="165"/>
      <c r="AC767" s="165"/>
      <c r="AD767" s="165"/>
      <c r="AE767" s="165"/>
      <c r="AF767" s="160"/>
      <c r="AG767" s="160"/>
      <c r="AH767" s="160"/>
      <c r="AI767" s="160"/>
      <c r="AJ767" s="161"/>
      <c r="AK767" s="162"/>
      <c r="AL767" s="165"/>
      <c r="AM767" s="166"/>
      <c r="AN767" s="165"/>
      <c r="AO767" s="160"/>
      <c r="AP767" s="162"/>
      <c r="AQ767" s="161"/>
      <c r="AR767" s="162"/>
      <c r="AS767" s="161"/>
      <c r="AT767" s="165"/>
      <c r="AU767" s="166"/>
      <c r="AV767" s="165"/>
      <c r="AW767" s="166"/>
      <c r="AX767" s="165"/>
      <c r="AY767" s="165"/>
      <c r="AZ767" s="165"/>
      <c r="BA767" s="165"/>
      <c r="BB767" s="166"/>
      <c r="BC767" s="165"/>
      <c r="BD767" s="165"/>
      <c r="BE767" s="165"/>
      <c r="BF767" s="165"/>
      <c r="BG767" s="165"/>
      <c r="BH767" s="165"/>
      <c r="BI767" s="165"/>
      <c r="BJ767" s="166"/>
      <c r="BK767" s="165"/>
      <c r="BL767" s="165"/>
      <c r="BM767" s="163"/>
      <c r="BN767" s="165"/>
      <c r="BO767" s="165"/>
      <c r="BP767" s="165"/>
      <c r="BQ767" s="167"/>
    </row>
    <row r="768" spans="1:270" ht="39.950000000000003" customHeight="1" outlineLevel="1" x14ac:dyDescent="0.3">
      <c r="A768" s="17" t="s">
        <v>978</v>
      </c>
      <c r="B768" s="12" t="s">
        <v>1120</v>
      </c>
      <c r="C768" s="35" t="s">
        <v>30</v>
      </c>
      <c r="D768" s="35" t="s">
        <v>1254</v>
      </c>
      <c r="E768" s="158">
        <f t="shared" si="166"/>
        <v>2436.85716</v>
      </c>
      <c r="F768" s="159">
        <f t="shared" si="167"/>
        <v>1587.55116</v>
      </c>
      <c r="G768" s="160">
        <f t="shared" si="168"/>
        <v>849.30600000000004</v>
      </c>
      <c r="H768" s="166">
        <v>1328.12925</v>
      </c>
      <c r="I768" s="165">
        <v>442.70974999999999</v>
      </c>
      <c r="J768" s="160"/>
      <c r="K768" s="160"/>
      <c r="L768" s="166">
        <v>259.42191000000003</v>
      </c>
      <c r="M768" s="165">
        <v>406.59625</v>
      </c>
      <c r="N768" s="165"/>
      <c r="O768" s="165"/>
      <c r="P768" s="160"/>
      <c r="Q768" s="166"/>
      <c r="R768" s="165"/>
      <c r="S768" s="165"/>
      <c r="T768" s="159"/>
      <c r="U768" s="160"/>
      <c r="V768" s="165"/>
      <c r="W768" s="165"/>
      <c r="X768" s="160"/>
      <c r="Y768" s="166"/>
      <c r="Z768" s="160"/>
      <c r="AA768" s="160"/>
      <c r="AB768" s="165"/>
      <c r="AC768" s="165"/>
      <c r="AD768" s="165"/>
      <c r="AE768" s="165"/>
      <c r="AF768" s="160"/>
      <c r="AG768" s="160"/>
      <c r="AH768" s="160"/>
      <c r="AI768" s="160"/>
      <c r="AJ768" s="161"/>
      <c r="AK768" s="162"/>
      <c r="AL768" s="165"/>
      <c r="AM768" s="166"/>
      <c r="AN768" s="165"/>
      <c r="AO768" s="160"/>
      <c r="AP768" s="162"/>
      <c r="AQ768" s="161"/>
      <c r="AR768" s="162"/>
      <c r="AS768" s="161"/>
      <c r="AT768" s="165"/>
      <c r="AU768" s="166"/>
      <c r="AV768" s="165"/>
      <c r="AW768" s="166"/>
      <c r="AX768" s="165"/>
      <c r="AY768" s="165"/>
      <c r="AZ768" s="165"/>
      <c r="BA768" s="165"/>
      <c r="BB768" s="166"/>
      <c r="BC768" s="165"/>
      <c r="BD768" s="165"/>
      <c r="BE768" s="165"/>
      <c r="BF768" s="165"/>
      <c r="BG768" s="165"/>
      <c r="BH768" s="165"/>
      <c r="BI768" s="165"/>
      <c r="BJ768" s="166"/>
      <c r="BK768" s="165"/>
      <c r="BL768" s="165"/>
      <c r="BM768" s="163"/>
      <c r="BN768" s="165"/>
      <c r="BO768" s="165"/>
      <c r="BP768" s="165"/>
      <c r="BQ768" s="167"/>
    </row>
    <row r="769" spans="1:270" ht="39.950000000000003" customHeight="1" outlineLevel="1" x14ac:dyDescent="0.3">
      <c r="A769" s="15" t="s">
        <v>978</v>
      </c>
      <c r="B769" s="12" t="s">
        <v>997</v>
      </c>
      <c r="C769" s="9" t="s">
        <v>30</v>
      </c>
      <c r="D769" s="66" t="s">
        <v>998</v>
      </c>
      <c r="E769" s="158">
        <f t="shared" si="166"/>
        <v>3382.1536999999998</v>
      </c>
      <c r="F769" s="159">
        <f t="shared" si="167"/>
        <v>542.59433000000001</v>
      </c>
      <c r="G769" s="160">
        <f t="shared" si="168"/>
        <v>2839.5593699999999</v>
      </c>
      <c r="H769" s="166">
        <v>441.34125</v>
      </c>
      <c r="I769" s="165">
        <v>147.11375000000001</v>
      </c>
      <c r="J769" s="160"/>
      <c r="K769" s="160"/>
      <c r="L769" s="166">
        <v>101.25308</v>
      </c>
      <c r="M769" s="165">
        <v>158.69561999999999</v>
      </c>
      <c r="N769" s="165"/>
      <c r="O769" s="165"/>
      <c r="P769" s="160"/>
      <c r="Q769" s="166"/>
      <c r="R769" s="165"/>
      <c r="S769" s="165"/>
      <c r="T769" s="159"/>
      <c r="U769" s="160"/>
      <c r="V769" s="165"/>
      <c r="W769" s="165"/>
      <c r="X769" s="160"/>
      <c r="Y769" s="166"/>
      <c r="Z769" s="160"/>
      <c r="AA769" s="160"/>
      <c r="AB769" s="165"/>
      <c r="AC769" s="165"/>
      <c r="AD769" s="165"/>
      <c r="AE769" s="165"/>
      <c r="AF769" s="160"/>
      <c r="AG769" s="160"/>
      <c r="AH769" s="160"/>
      <c r="AI769" s="160"/>
      <c r="AJ769" s="161"/>
      <c r="AK769" s="162"/>
      <c r="AL769" s="165"/>
      <c r="AM769" s="166"/>
      <c r="AN769" s="165"/>
      <c r="AO769" s="160"/>
      <c r="AP769" s="162"/>
      <c r="AQ769" s="161"/>
      <c r="AR769" s="162"/>
      <c r="AS769" s="161"/>
      <c r="AT769" s="165"/>
      <c r="AU769" s="166"/>
      <c r="AV769" s="165"/>
      <c r="AW769" s="166"/>
      <c r="AX769" s="165"/>
      <c r="AY769" s="165"/>
      <c r="AZ769" s="165"/>
      <c r="BA769" s="165"/>
      <c r="BB769" s="166"/>
      <c r="BC769" s="165"/>
      <c r="BD769" s="165"/>
      <c r="BE769" s="165"/>
      <c r="BF769" s="165"/>
      <c r="BG769" s="165"/>
      <c r="BH769" s="165">
        <v>2533.75</v>
      </c>
      <c r="BI769" s="165"/>
      <c r="BJ769" s="166"/>
      <c r="BK769" s="165"/>
      <c r="BL769" s="165"/>
      <c r="BM769" s="163"/>
      <c r="BN769" s="165"/>
      <c r="BO769" s="165"/>
      <c r="BP769" s="165"/>
      <c r="BQ769" s="167"/>
    </row>
    <row r="770" spans="1:270" ht="39.950000000000003" customHeight="1" outlineLevel="1" x14ac:dyDescent="0.3">
      <c r="A770" s="17" t="s">
        <v>978</v>
      </c>
      <c r="B770" s="12" t="s">
        <v>989</v>
      </c>
      <c r="C770" s="9" t="s">
        <v>30</v>
      </c>
      <c r="D770" s="66">
        <v>243900593423</v>
      </c>
      <c r="E770" s="158">
        <f t="shared" si="166"/>
        <v>2532.27133</v>
      </c>
      <c r="F770" s="159">
        <f t="shared" si="167"/>
        <v>1765.8079499999999</v>
      </c>
      <c r="G770" s="160">
        <f t="shared" si="168"/>
        <v>766.46338000000003</v>
      </c>
      <c r="H770" s="166">
        <v>1621.6724999999999</v>
      </c>
      <c r="I770" s="165">
        <v>540.5575</v>
      </c>
      <c r="J770" s="160"/>
      <c r="K770" s="160"/>
      <c r="L770" s="166">
        <v>144.13544999999999</v>
      </c>
      <c r="M770" s="165">
        <v>225.90588</v>
      </c>
      <c r="N770" s="165"/>
      <c r="O770" s="165"/>
      <c r="P770" s="160"/>
      <c r="Q770" s="166"/>
      <c r="R770" s="165"/>
      <c r="S770" s="165"/>
      <c r="T770" s="159"/>
      <c r="U770" s="160"/>
      <c r="V770" s="165"/>
      <c r="W770" s="165"/>
      <c r="X770" s="160"/>
      <c r="Y770" s="166"/>
      <c r="Z770" s="160"/>
      <c r="AA770" s="160"/>
      <c r="AB770" s="165"/>
      <c r="AC770" s="165"/>
      <c r="AD770" s="165"/>
      <c r="AE770" s="165"/>
      <c r="AF770" s="160"/>
      <c r="AG770" s="160"/>
      <c r="AH770" s="160"/>
      <c r="AI770" s="160"/>
      <c r="AJ770" s="161"/>
      <c r="AK770" s="162"/>
      <c r="AL770" s="165"/>
      <c r="AM770" s="166"/>
      <c r="AN770" s="165"/>
      <c r="AO770" s="160"/>
      <c r="AP770" s="162"/>
      <c r="AQ770" s="161"/>
      <c r="AR770" s="162"/>
      <c r="AS770" s="161"/>
      <c r="AT770" s="165"/>
      <c r="AU770" s="166"/>
      <c r="AV770" s="165"/>
      <c r="AW770" s="166"/>
      <c r="AX770" s="165"/>
      <c r="AY770" s="165"/>
      <c r="AZ770" s="165"/>
      <c r="BA770" s="165"/>
      <c r="BB770" s="166"/>
      <c r="BC770" s="165"/>
      <c r="BD770" s="165"/>
      <c r="BE770" s="165"/>
      <c r="BF770" s="165"/>
      <c r="BG770" s="165"/>
      <c r="BH770" s="165"/>
      <c r="BI770" s="165"/>
      <c r="BJ770" s="166"/>
      <c r="BK770" s="165"/>
      <c r="BL770" s="165"/>
      <c r="BM770" s="163"/>
      <c r="BN770" s="165"/>
      <c r="BO770" s="165"/>
      <c r="BP770" s="165"/>
      <c r="BQ770" s="167"/>
    </row>
    <row r="771" spans="1:270" ht="39.950000000000003" customHeight="1" outlineLevel="1" x14ac:dyDescent="0.3">
      <c r="A771" s="17" t="s">
        <v>978</v>
      </c>
      <c r="B771" s="12" t="s">
        <v>999</v>
      </c>
      <c r="C771" s="9" t="s">
        <v>30</v>
      </c>
      <c r="D771" s="66" t="s">
        <v>1000</v>
      </c>
      <c r="E771" s="158">
        <f t="shared" si="166"/>
        <v>5227.99251</v>
      </c>
      <c r="F771" s="159">
        <f t="shared" si="167"/>
        <v>1486.5090700000001</v>
      </c>
      <c r="G771" s="160">
        <f t="shared" si="168"/>
        <v>3741.48344</v>
      </c>
      <c r="H771" s="166">
        <v>1352.76225</v>
      </c>
      <c r="I771" s="165">
        <v>450.92075</v>
      </c>
      <c r="J771" s="160"/>
      <c r="K771" s="160"/>
      <c r="L771" s="166">
        <v>133.74682000000001</v>
      </c>
      <c r="M771" s="165">
        <v>209.62361000000001</v>
      </c>
      <c r="N771" s="165"/>
      <c r="O771" s="165"/>
      <c r="P771" s="160"/>
      <c r="Q771" s="166"/>
      <c r="R771" s="165"/>
      <c r="S771" s="165"/>
      <c r="T771" s="159"/>
      <c r="U771" s="160"/>
      <c r="V771" s="165"/>
      <c r="W771" s="165"/>
      <c r="X771" s="160"/>
      <c r="Y771" s="166"/>
      <c r="Z771" s="160"/>
      <c r="AA771" s="160"/>
      <c r="AB771" s="165"/>
      <c r="AC771" s="165"/>
      <c r="AD771" s="165"/>
      <c r="AE771" s="165"/>
      <c r="AF771" s="160"/>
      <c r="AG771" s="160"/>
      <c r="AH771" s="160"/>
      <c r="AI771" s="160"/>
      <c r="AJ771" s="161"/>
      <c r="AK771" s="162"/>
      <c r="AL771" s="165"/>
      <c r="AM771" s="166"/>
      <c r="AN771" s="165"/>
      <c r="AO771" s="160"/>
      <c r="AP771" s="162"/>
      <c r="AQ771" s="161"/>
      <c r="AR771" s="162"/>
      <c r="AS771" s="161"/>
      <c r="AT771" s="165"/>
      <c r="AU771" s="166"/>
      <c r="AV771" s="165"/>
      <c r="AW771" s="166"/>
      <c r="AX771" s="165"/>
      <c r="AY771" s="165"/>
      <c r="AZ771" s="165"/>
      <c r="BA771" s="165"/>
      <c r="BB771" s="166"/>
      <c r="BC771" s="165"/>
      <c r="BD771" s="165"/>
      <c r="BE771" s="165">
        <v>80.939080000000004</v>
      </c>
      <c r="BF771" s="165"/>
      <c r="BG771" s="165"/>
      <c r="BH771" s="165">
        <v>3000</v>
      </c>
      <c r="BI771" s="165"/>
      <c r="BJ771" s="166"/>
      <c r="BK771" s="165"/>
      <c r="BL771" s="165"/>
      <c r="BM771" s="163"/>
      <c r="BN771" s="165"/>
      <c r="BO771" s="165"/>
      <c r="BP771" s="165"/>
      <c r="BQ771" s="167"/>
    </row>
    <row r="772" spans="1:270" ht="39.950000000000003" customHeight="1" outlineLevel="1" x14ac:dyDescent="0.3">
      <c r="A772" s="15" t="s">
        <v>978</v>
      </c>
      <c r="B772" s="12" t="s">
        <v>1332</v>
      </c>
      <c r="C772" s="9" t="s">
        <v>30</v>
      </c>
      <c r="D772" s="66" t="s">
        <v>1001</v>
      </c>
      <c r="E772" s="158">
        <f t="shared" si="166"/>
        <v>416.55122999999998</v>
      </c>
      <c r="F772" s="159">
        <f t="shared" si="167"/>
        <v>95.767989999999998</v>
      </c>
      <c r="G772" s="160">
        <f t="shared" si="168"/>
        <v>320.78323999999998</v>
      </c>
      <c r="H772" s="166"/>
      <c r="I772" s="165"/>
      <c r="J772" s="160"/>
      <c r="K772" s="160"/>
      <c r="L772" s="166">
        <v>95.767989999999998</v>
      </c>
      <c r="M772" s="165">
        <v>150.09876</v>
      </c>
      <c r="N772" s="165"/>
      <c r="O772" s="165"/>
      <c r="P772" s="160"/>
      <c r="Q772" s="166"/>
      <c r="R772" s="165"/>
      <c r="S772" s="165"/>
      <c r="T772" s="159"/>
      <c r="U772" s="160"/>
      <c r="V772" s="165"/>
      <c r="W772" s="165"/>
      <c r="X772" s="160"/>
      <c r="Y772" s="166"/>
      <c r="Z772" s="160"/>
      <c r="AA772" s="160"/>
      <c r="AB772" s="165"/>
      <c r="AC772" s="165"/>
      <c r="AD772" s="165"/>
      <c r="AE772" s="165"/>
      <c r="AF772" s="160"/>
      <c r="AG772" s="160"/>
      <c r="AH772" s="160"/>
      <c r="AI772" s="160"/>
      <c r="AJ772" s="161"/>
      <c r="AK772" s="162"/>
      <c r="AL772" s="165"/>
      <c r="AM772" s="166"/>
      <c r="AN772" s="165"/>
      <c r="AO772" s="160"/>
      <c r="AP772" s="162"/>
      <c r="AQ772" s="161"/>
      <c r="AR772" s="162"/>
      <c r="AS772" s="161"/>
      <c r="AT772" s="165"/>
      <c r="AU772" s="166"/>
      <c r="AV772" s="165"/>
      <c r="AW772" s="166"/>
      <c r="AX772" s="165"/>
      <c r="AY772" s="165"/>
      <c r="AZ772" s="165"/>
      <c r="BA772" s="165">
        <v>170.68448000000001</v>
      </c>
      <c r="BB772" s="166"/>
      <c r="BC772" s="165"/>
      <c r="BD772" s="165"/>
      <c r="BE772" s="165"/>
      <c r="BF772" s="165"/>
      <c r="BG772" s="165"/>
      <c r="BH772" s="165"/>
      <c r="BI772" s="165"/>
      <c r="BJ772" s="166"/>
      <c r="BK772" s="165"/>
      <c r="BL772" s="165"/>
      <c r="BM772" s="163"/>
      <c r="BN772" s="165"/>
      <c r="BO772" s="165"/>
      <c r="BP772" s="165"/>
      <c r="BQ772" s="167"/>
    </row>
    <row r="773" spans="1:270" s="36" customFormat="1" ht="39.950000000000003" customHeight="1" outlineLevel="1" x14ac:dyDescent="0.3">
      <c r="A773" s="17" t="s">
        <v>978</v>
      </c>
      <c r="B773" s="12" t="s">
        <v>1427</v>
      </c>
      <c r="C773" s="9" t="s">
        <v>30</v>
      </c>
      <c r="D773" s="66">
        <v>243901254906</v>
      </c>
      <c r="E773" s="158">
        <f t="shared" si="166"/>
        <v>83.940579999999997</v>
      </c>
      <c r="F773" s="159">
        <f t="shared" si="167"/>
        <v>32.695839999999997</v>
      </c>
      <c r="G773" s="160">
        <f t="shared" si="168"/>
        <v>51.24474</v>
      </c>
      <c r="H773" s="166"/>
      <c r="I773" s="165"/>
      <c r="J773" s="160"/>
      <c r="K773" s="160"/>
      <c r="L773" s="166">
        <v>32.695839999999997</v>
      </c>
      <c r="M773" s="165">
        <v>51.24474</v>
      </c>
      <c r="N773" s="165"/>
      <c r="O773" s="165"/>
      <c r="P773" s="160"/>
      <c r="Q773" s="166"/>
      <c r="R773" s="165"/>
      <c r="S773" s="165"/>
      <c r="T773" s="159"/>
      <c r="U773" s="160"/>
      <c r="V773" s="165"/>
      <c r="W773" s="165"/>
      <c r="X773" s="160"/>
      <c r="Y773" s="166"/>
      <c r="Z773" s="160"/>
      <c r="AA773" s="160"/>
      <c r="AB773" s="165"/>
      <c r="AC773" s="165"/>
      <c r="AD773" s="165"/>
      <c r="AE773" s="165"/>
      <c r="AF773" s="160"/>
      <c r="AG773" s="160"/>
      <c r="AH773" s="160"/>
      <c r="AI773" s="160"/>
      <c r="AJ773" s="161"/>
      <c r="AK773" s="162"/>
      <c r="AL773" s="165"/>
      <c r="AM773" s="166"/>
      <c r="AN773" s="165"/>
      <c r="AO773" s="160"/>
      <c r="AP773" s="162"/>
      <c r="AQ773" s="161"/>
      <c r="AR773" s="162"/>
      <c r="AS773" s="161"/>
      <c r="AT773" s="165"/>
      <c r="AU773" s="166"/>
      <c r="AV773" s="165"/>
      <c r="AW773" s="166"/>
      <c r="AX773" s="165"/>
      <c r="AY773" s="165"/>
      <c r="AZ773" s="165"/>
      <c r="BA773" s="165"/>
      <c r="BB773" s="166"/>
      <c r="BC773" s="165"/>
      <c r="BD773" s="165"/>
      <c r="BE773" s="165"/>
      <c r="BF773" s="165"/>
      <c r="BG773" s="165"/>
      <c r="BH773" s="165"/>
      <c r="BI773" s="165"/>
      <c r="BJ773" s="166"/>
      <c r="BK773" s="165"/>
      <c r="BL773" s="165"/>
      <c r="BM773" s="188"/>
      <c r="BN773" s="165"/>
      <c r="BO773" s="165"/>
      <c r="BP773" s="165"/>
      <c r="BQ773" s="167"/>
      <c r="BR773" s="42"/>
      <c r="BS773" s="42"/>
      <c r="BT773" s="42"/>
      <c r="BU773" s="42"/>
      <c r="BV773" s="42"/>
      <c r="BW773" s="42"/>
      <c r="BX773" s="42"/>
      <c r="BY773" s="42"/>
      <c r="BZ773" s="42"/>
      <c r="CA773" s="42"/>
      <c r="CB773" s="42"/>
      <c r="CC773" s="42"/>
      <c r="CD773" s="42"/>
      <c r="CE773" s="42"/>
      <c r="CF773" s="42"/>
      <c r="CG773" s="42"/>
      <c r="CH773" s="42"/>
      <c r="CI773" s="42"/>
      <c r="CJ773" s="42"/>
      <c r="CK773" s="42"/>
      <c r="CL773" s="42"/>
      <c r="CM773" s="42"/>
      <c r="CN773" s="42"/>
      <c r="CO773" s="42"/>
      <c r="CP773" s="42"/>
      <c r="CQ773" s="42"/>
      <c r="CR773" s="42"/>
      <c r="CS773" s="42"/>
      <c r="CT773" s="42"/>
      <c r="CU773" s="42"/>
      <c r="CV773" s="42"/>
      <c r="CW773" s="42"/>
      <c r="CX773" s="42"/>
      <c r="CY773" s="42"/>
      <c r="CZ773" s="42"/>
      <c r="DA773" s="42"/>
      <c r="DB773" s="42"/>
      <c r="DC773" s="42"/>
      <c r="DD773" s="42"/>
      <c r="DE773" s="42"/>
      <c r="DF773" s="42"/>
      <c r="DG773" s="42"/>
      <c r="DH773" s="42"/>
      <c r="DI773" s="42"/>
      <c r="DJ773" s="42"/>
      <c r="DK773" s="42"/>
      <c r="DL773" s="42"/>
      <c r="DM773" s="42"/>
      <c r="DN773" s="42"/>
      <c r="DO773" s="42"/>
      <c r="DP773" s="42"/>
      <c r="DQ773" s="42"/>
      <c r="DR773" s="42"/>
      <c r="DS773" s="42"/>
      <c r="DT773" s="42"/>
      <c r="DU773" s="42"/>
      <c r="DV773" s="42"/>
      <c r="DW773" s="42"/>
      <c r="DX773" s="42"/>
      <c r="DY773" s="42"/>
      <c r="DZ773" s="42"/>
      <c r="EA773" s="42"/>
      <c r="EB773" s="42"/>
      <c r="EC773" s="42"/>
      <c r="ED773" s="42"/>
      <c r="EE773" s="42"/>
      <c r="EF773" s="42"/>
      <c r="EG773" s="42"/>
      <c r="EH773" s="42"/>
      <c r="EI773" s="42"/>
      <c r="EJ773" s="42"/>
      <c r="EK773" s="42"/>
      <c r="EL773" s="42"/>
      <c r="EM773" s="42"/>
      <c r="EN773" s="42"/>
      <c r="EO773" s="42"/>
      <c r="EP773" s="42"/>
      <c r="EQ773" s="42"/>
      <c r="ER773" s="42"/>
      <c r="ES773" s="42"/>
      <c r="ET773" s="42"/>
      <c r="EU773" s="42"/>
      <c r="EV773" s="42"/>
      <c r="EW773" s="42"/>
      <c r="EX773" s="42"/>
      <c r="EY773" s="42"/>
      <c r="EZ773" s="42"/>
      <c r="FA773" s="42"/>
      <c r="FB773" s="42"/>
      <c r="FC773" s="42"/>
      <c r="FD773" s="42"/>
      <c r="FE773" s="42"/>
      <c r="FF773" s="42"/>
      <c r="FG773" s="42"/>
      <c r="FH773" s="42"/>
      <c r="FI773" s="42"/>
      <c r="FJ773" s="42"/>
      <c r="FK773" s="42"/>
      <c r="FL773" s="42"/>
      <c r="FM773" s="42"/>
      <c r="FN773" s="42"/>
      <c r="FO773" s="42"/>
      <c r="FP773" s="42"/>
      <c r="FQ773" s="42"/>
      <c r="FR773" s="42"/>
      <c r="FS773" s="42"/>
      <c r="FT773" s="42"/>
      <c r="FU773" s="42"/>
      <c r="FV773" s="42"/>
      <c r="FW773" s="42"/>
      <c r="FX773" s="42"/>
      <c r="FY773" s="42"/>
      <c r="FZ773" s="42"/>
      <c r="GA773" s="42"/>
      <c r="GB773" s="42"/>
      <c r="GC773" s="42"/>
      <c r="GD773" s="42"/>
      <c r="GE773" s="42"/>
      <c r="GF773" s="42"/>
      <c r="GG773" s="42"/>
      <c r="GH773" s="42"/>
      <c r="GI773" s="42"/>
      <c r="GJ773" s="42"/>
      <c r="GK773" s="42"/>
      <c r="GL773" s="42"/>
      <c r="GM773" s="42"/>
      <c r="GN773" s="42"/>
      <c r="GO773" s="42"/>
      <c r="GP773" s="42"/>
      <c r="GQ773" s="42"/>
      <c r="GR773" s="42"/>
      <c r="GS773" s="42"/>
      <c r="GT773" s="42"/>
      <c r="GU773" s="42"/>
      <c r="GV773" s="42"/>
      <c r="GW773" s="42"/>
      <c r="GX773" s="42"/>
      <c r="GY773" s="42"/>
      <c r="GZ773" s="42"/>
      <c r="HA773" s="42"/>
      <c r="HB773" s="42"/>
      <c r="HC773" s="42"/>
      <c r="HD773" s="42"/>
      <c r="HE773" s="42"/>
      <c r="HF773" s="42"/>
      <c r="HG773" s="42"/>
      <c r="HH773" s="42"/>
      <c r="HI773" s="42"/>
      <c r="HJ773" s="42"/>
      <c r="HK773" s="42"/>
      <c r="HL773" s="42"/>
      <c r="HM773" s="42"/>
      <c r="HN773" s="42"/>
      <c r="HO773" s="42"/>
      <c r="HP773" s="42"/>
      <c r="HQ773" s="42"/>
      <c r="HR773" s="42"/>
      <c r="HS773" s="42"/>
      <c r="HT773" s="42"/>
      <c r="HU773" s="42"/>
      <c r="HV773" s="42"/>
      <c r="HW773" s="42"/>
      <c r="HX773" s="42"/>
      <c r="HY773" s="42"/>
      <c r="HZ773" s="42"/>
      <c r="IA773" s="42"/>
      <c r="IB773" s="42"/>
      <c r="IC773" s="42"/>
      <c r="ID773" s="42"/>
      <c r="IE773" s="42"/>
      <c r="IF773" s="42"/>
      <c r="IG773" s="42"/>
      <c r="IH773" s="42"/>
      <c r="II773" s="42"/>
      <c r="IJ773" s="42"/>
      <c r="IK773" s="42"/>
      <c r="IL773" s="42"/>
      <c r="IM773" s="42"/>
      <c r="IN773" s="42"/>
      <c r="IO773" s="42"/>
      <c r="IP773" s="42"/>
      <c r="IQ773" s="42"/>
      <c r="IR773" s="42"/>
      <c r="IS773" s="42"/>
      <c r="IT773" s="42"/>
      <c r="IU773" s="42"/>
      <c r="IV773" s="42"/>
      <c r="IW773" s="42"/>
      <c r="IX773" s="42"/>
      <c r="IY773" s="42"/>
      <c r="IZ773" s="42"/>
      <c r="JA773" s="42"/>
      <c r="JB773" s="42"/>
      <c r="JC773" s="42"/>
      <c r="JD773" s="42"/>
      <c r="JE773" s="42"/>
      <c r="JF773" s="42"/>
      <c r="JG773" s="42"/>
      <c r="JH773" s="42"/>
      <c r="JI773" s="42"/>
      <c r="JJ773" s="42"/>
    </row>
    <row r="774" spans="1:270" ht="60.75" customHeight="1" outlineLevel="1" x14ac:dyDescent="0.3">
      <c r="A774" s="15" t="s">
        <v>978</v>
      </c>
      <c r="B774" s="12" t="s">
        <v>1002</v>
      </c>
      <c r="C774" s="9" t="s">
        <v>30</v>
      </c>
      <c r="D774" s="66" t="s">
        <v>1003</v>
      </c>
      <c r="E774" s="158">
        <f t="shared" si="166"/>
        <v>994.70393000000001</v>
      </c>
      <c r="F774" s="159">
        <f t="shared" si="167"/>
        <v>683.44577000000004</v>
      </c>
      <c r="G774" s="160">
        <f t="shared" si="168"/>
        <v>311.25815999999998</v>
      </c>
      <c r="H774" s="166">
        <v>615.82500000000005</v>
      </c>
      <c r="I774" s="165">
        <v>205.27500000000001</v>
      </c>
      <c r="J774" s="160"/>
      <c r="K774" s="160"/>
      <c r="L774" s="166">
        <v>67.620769999999993</v>
      </c>
      <c r="M774" s="165">
        <v>105.98316</v>
      </c>
      <c r="N774" s="165"/>
      <c r="O774" s="165"/>
      <c r="P774" s="160"/>
      <c r="Q774" s="166"/>
      <c r="R774" s="165"/>
      <c r="S774" s="165"/>
      <c r="T774" s="159"/>
      <c r="U774" s="160"/>
      <c r="V774" s="165"/>
      <c r="W774" s="165"/>
      <c r="X774" s="160"/>
      <c r="Y774" s="166"/>
      <c r="Z774" s="160"/>
      <c r="AA774" s="160"/>
      <c r="AB774" s="165"/>
      <c r="AC774" s="165"/>
      <c r="AD774" s="165"/>
      <c r="AE774" s="165"/>
      <c r="AF774" s="160"/>
      <c r="AG774" s="160"/>
      <c r="AH774" s="160"/>
      <c r="AI774" s="160"/>
      <c r="AJ774" s="161"/>
      <c r="AK774" s="162"/>
      <c r="AL774" s="165"/>
      <c r="AM774" s="166"/>
      <c r="AN774" s="165"/>
      <c r="AO774" s="160"/>
      <c r="AP774" s="162"/>
      <c r="AQ774" s="161"/>
      <c r="AR774" s="162"/>
      <c r="AS774" s="161"/>
      <c r="AT774" s="165"/>
      <c r="AU774" s="166"/>
      <c r="AV774" s="165"/>
      <c r="AW774" s="166"/>
      <c r="AX774" s="165"/>
      <c r="AY774" s="165"/>
      <c r="AZ774" s="165"/>
      <c r="BA774" s="165"/>
      <c r="BB774" s="166"/>
      <c r="BC774" s="165"/>
      <c r="BD774" s="165"/>
      <c r="BE774" s="165"/>
      <c r="BF774" s="165"/>
      <c r="BG774" s="165"/>
      <c r="BH774" s="165"/>
      <c r="BI774" s="165"/>
      <c r="BJ774" s="166"/>
      <c r="BK774" s="165"/>
      <c r="BL774" s="165"/>
      <c r="BM774" s="163"/>
      <c r="BN774" s="165"/>
      <c r="BO774" s="165"/>
      <c r="BP774" s="165"/>
      <c r="BQ774" s="167"/>
    </row>
    <row r="775" spans="1:270" ht="39.950000000000003" customHeight="1" outlineLevel="1" x14ac:dyDescent="0.3">
      <c r="A775" s="17" t="s">
        <v>978</v>
      </c>
      <c r="B775" s="12" t="s">
        <v>1412</v>
      </c>
      <c r="C775" s="9" t="s">
        <v>30</v>
      </c>
      <c r="D775" s="66">
        <v>243900408173</v>
      </c>
      <c r="E775" s="158">
        <f t="shared" si="166"/>
        <v>3000</v>
      </c>
      <c r="F775" s="159">
        <f t="shared" si="167"/>
        <v>0</v>
      </c>
      <c r="G775" s="160">
        <f t="shared" si="168"/>
        <v>3000</v>
      </c>
      <c r="H775" s="166"/>
      <c r="I775" s="165"/>
      <c r="J775" s="160"/>
      <c r="K775" s="160"/>
      <c r="L775" s="166"/>
      <c r="M775" s="165"/>
      <c r="N775" s="165"/>
      <c r="O775" s="165"/>
      <c r="P775" s="160"/>
      <c r="Q775" s="166"/>
      <c r="R775" s="165"/>
      <c r="S775" s="165"/>
      <c r="T775" s="159"/>
      <c r="U775" s="160"/>
      <c r="V775" s="165"/>
      <c r="W775" s="165"/>
      <c r="X775" s="160"/>
      <c r="Y775" s="166"/>
      <c r="Z775" s="160"/>
      <c r="AA775" s="160"/>
      <c r="AB775" s="165"/>
      <c r="AC775" s="165"/>
      <c r="AD775" s="165"/>
      <c r="AE775" s="165"/>
      <c r="AF775" s="160"/>
      <c r="AG775" s="160"/>
      <c r="AH775" s="160"/>
      <c r="AI775" s="160"/>
      <c r="AJ775" s="161">
        <v>3000</v>
      </c>
      <c r="AK775" s="162"/>
      <c r="AL775" s="165"/>
      <c r="AM775" s="166"/>
      <c r="AN775" s="165"/>
      <c r="AO775" s="160"/>
      <c r="AP775" s="162"/>
      <c r="AQ775" s="161"/>
      <c r="AR775" s="162"/>
      <c r="AS775" s="161"/>
      <c r="AT775" s="165"/>
      <c r="AU775" s="166"/>
      <c r="AV775" s="165"/>
      <c r="AW775" s="166"/>
      <c r="AX775" s="165"/>
      <c r="AY775" s="165"/>
      <c r="AZ775" s="165"/>
      <c r="BA775" s="165"/>
      <c r="BB775" s="166"/>
      <c r="BC775" s="165"/>
      <c r="BD775" s="165"/>
      <c r="BE775" s="165"/>
      <c r="BF775" s="165"/>
      <c r="BG775" s="165"/>
      <c r="BH775" s="165"/>
      <c r="BI775" s="165"/>
      <c r="BJ775" s="166"/>
      <c r="BK775" s="165"/>
      <c r="BL775" s="165"/>
      <c r="BM775" s="163"/>
      <c r="BN775" s="165"/>
      <c r="BO775" s="165"/>
      <c r="BP775" s="165"/>
      <c r="BQ775" s="167"/>
    </row>
    <row r="776" spans="1:270" ht="39.950000000000003" customHeight="1" outlineLevel="1" x14ac:dyDescent="0.3">
      <c r="A776" s="17" t="s">
        <v>978</v>
      </c>
      <c r="B776" s="12" t="s">
        <v>990</v>
      </c>
      <c r="C776" s="9" t="s">
        <v>30</v>
      </c>
      <c r="D776" s="9" t="s">
        <v>1253</v>
      </c>
      <c r="E776" s="158">
        <f t="shared" si="166"/>
        <v>266.24</v>
      </c>
      <c r="F776" s="159">
        <f t="shared" si="167"/>
        <v>0</v>
      </c>
      <c r="G776" s="160">
        <f t="shared" si="168"/>
        <v>266.24</v>
      </c>
      <c r="H776" s="166"/>
      <c r="I776" s="165"/>
      <c r="J776" s="160"/>
      <c r="K776" s="160"/>
      <c r="L776" s="166"/>
      <c r="M776" s="165"/>
      <c r="N776" s="165"/>
      <c r="O776" s="165"/>
      <c r="P776" s="160"/>
      <c r="Q776" s="166"/>
      <c r="R776" s="165"/>
      <c r="S776" s="165"/>
      <c r="T776" s="159"/>
      <c r="U776" s="160"/>
      <c r="V776" s="165"/>
      <c r="W776" s="165">
        <v>266.24</v>
      </c>
      <c r="X776" s="160"/>
      <c r="Y776" s="166"/>
      <c r="Z776" s="160"/>
      <c r="AA776" s="160"/>
      <c r="AB776" s="165"/>
      <c r="AC776" s="165"/>
      <c r="AD776" s="165"/>
      <c r="AE776" s="165"/>
      <c r="AF776" s="160"/>
      <c r="AG776" s="160"/>
      <c r="AH776" s="160"/>
      <c r="AI776" s="160"/>
      <c r="AJ776" s="161"/>
      <c r="AK776" s="162"/>
      <c r="AL776" s="165"/>
      <c r="AM776" s="166"/>
      <c r="AN776" s="165"/>
      <c r="AO776" s="160"/>
      <c r="AP776" s="162"/>
      <c r="AQ776" s="161"/>
      <c r="AR776" s="162"/>
      <c r="AS776" s="161"/>
      <c r="AT776" s="165"/>
      <c r="AU776" s="166"/>
      <c r="AV776" s="165"/>
      <c r="AW776" s="166"/>
      <c r="AX776" s="165"/>
      <c r="AY776" s="165"/>
      <c r="AZ776" s="165"/>
      <c r="BA776" s="165"/>
      <c r="BB776" s="166"/>
      <c r="BC776" s="165"/>
      <c r="BD776" s="165"/>
      <c r="BE776" s="165"/>
      <c r="BF776" s="165"/>
      <c r="BG776" s="165"/>
      <c r="BH776" s="165"/>
      <c r="BI776" s="165"/>
      <c r="BJ776" s="166"/>
      <c r="BK776" s="165"/>
      <c r="BL776" s="165"/>
      <c r="BM776" s="163"/>
      <c r="BN776" s="165"/>
      <c r="BO776" s="165"/>
      <c r="BP776" s="165"/>
      <c r="BQ776" s="167"/>
    </row>
    <row r="777" spans="1:270" ht="39.950000000000003" customHeight="1" outlineLevel="1" x14ac:dyDescent="0.3">
      <c r="A777" s="17" t="s">
        <v>978</v>
      </c>
      <c r="B777" s="12" t="s">
        <v>1004</v>
      </c>
      <c r="C777" s="9" t="s">
        <v>30</v>
      </c>
      <c r="D777" s="66" t="s">
        <v>1005</v>
      </c>
      <c r="E777" s="158">
        <f t="shared" si="166"/>
        <v>229.10602</v>
      </c>
      <c r="F777" s="159">
        <f t="shared" si="167"/>
        <v>127.40335999999999</v>
      </c>
      <c r="G777" s="160">
        <f t="shared" si="168"/>
        <v>101.70266000000001</v>
      </c>
      <c r="H777" s="166">
        <v>45.160499999999999</v>
      </c>
      <c r="I777" s="165">
        <v>15.0535</v>
      </c>
      <c r="J777" s="160"/>
      <c r="K777" s="160"/>
      <c r="L777" s="166">
        <v>42.656260000000003</v>
      </c>
      <c r="M777" s="165">
        <v>66.855860000000007</v>
      </c>
      <c r="N777" s="165"/>
      <c r="O777" s="165"/>
      <c r="P777" s="160"/>
      <c r="Q777" s="166"/>
      <c r="R777" s="165"/>
      <c r="S777" s="165"/>
      <c r="T777" s="159"/>
      <c r="U777" s="160"/>
      <c r="V777" s="165"/>
      <c r="W777" s="165"/>
      <c r="X777" s="160"/>
      <c r="Y777" s="166"/>
      <c r="Z777" s="160"/>
      <c r="AA777" s="160"/>
      <c r="AB777" s="165"/>
      <c r="AC777" s="165"/>
      <c r="AD777" s="165"/>
      <c r="AE777" s="165"/>
      <c r="AF777" s="160"/>
      <c r="AG777" s="160"/>
      <c r="AH777" s="160"/>
      <c r="AI777" s="160"/>
      <c r="AJ777" s="161"/>
      <c r="AK777" s="162"/>
      <c r="AL777" s="165"/>
      <c r="AM777" s="166"/>
      <c r="AN777" s="165"/>
      <c r="AO777" s="160"/>
      <c r="AP777" s="162"/>
      <c r="AQ777" s="161"/>
      <c r="AR777" s="162"/>
      <c r="AS777" s="161"/>
      <c r="AT777" s="165"/>
      <c r="AU777" s="166"/>
      <c r="AV777" s="165"/>
      <c r="AW777" s="166">
        <v>39.586599999999997</v>
      </c>
      <c r="AX777" s="165">
        <f>7.96873+11.82457</f>
        <v>19.793299999999999</v>
      </c>
      <c r="AY777" s="165"/>
      <c r="AZ777" s="165"/>
      <c r="BA777" s="165"/>
      <c r="BB777" s="166"/>
      <c r="BC777" s="165"/>
      <c r="BD777" s="165"/>
      <c r="BE777" s="165"/>
      <c r="BF777" s="165"/>
      <c r="BG777" s="165"/>
      <c r="BH777" s="165"/>
      <c r="BI777" s="165"/>
      <c r="BJ777" s="166"/>
      <c r="BK777" s="165"/>
      <c r="BL777" s="165"/>
      <c r="BM777" s="163"/>
      <c r="BN777" s="165"/>
      <c r="BO777" s="165"/>
      <c r="BP777" s="165"/>
      <c r="BQ777" s="167"/>
    </row>
    <row r="778" spans="1:270" ht="39.950000000000003" customHeight="1" outlineLevel="1" x14ac:dyDescent="0.3">
      <c r="A778" s="17" t="s">
        <v>978</v>
      </c>
      <c r="B778" s="12" t="s">
        <v>1495</v>
      </c>
      <c r="C778" s="9" t="s">
        <v>30</v>
      </c>
      <c r="D778" s="66">
        <v>243901857492</v>
      </c>
      <c r="E778" s="158">
        <f t="shared" si="166"/>
        <v>162.88476</v>
      </c>
      <c r="F778" s="159">
        <f t="shared" si="167"/>
        <v>122.16357000000001</v>
      </c>
      <c r="G778" s="160">
        <f t="shared" si="168"/>
        <v>40.72119</v>
      </c>
      <c r="H778" s="166">
        <v>122.16357000000001</v>
      </c>
      <c r="I778" s="165">
        <v>40.72119</v>
      </c>
      <c r="J778" s="160"/>
      <c r="K778" s="160"/>
      <c r="L778" s="166"/>
      <c r="M778" s="165"/>
      <c r="N778" s="165"/>
      <c r="O778" s="165"/>
      <c r="P778" s="160"/>
      <c r="Q778" s="166"/>
      <c r="R778" s="165"/>
      <c r="S778" s="165"/>
      <c r="T778" s="159"/>
      <c r="U778" s="160"/>
      <c r="V778" s="165"/>
      <c r="W778" s="165"/>
      <c r="X778" s="160"/>
      <c r="Y778" s="166"/>
      <c r="Z778" s="160"/>
      <c r="AA778" s="160"/>
      <c r="AB778" s="165"/>
      <c r="AC778" s="165"/>
      <c r="AD778" s="165"/>
      <c r="AE778" s="165"/>
      <c r="AF778" s="160"/>
      <c r="AG778" s="160"/>
      <c r="AH778" s="160"/>
      <c r="AI778" s="160"/>
      <c r="AJ778" s="161"/>
      <c r="AK778" s="162"/>
      <c r="AL778" s="165"/>
      <c r="AM778" s="166"/>
      <c r="AN778" s="165"/>
      <c r="AO778" s="160"/>
      <c r="AP778" s="162"/>
      <c r="AQ778" s="161"/>
      <c r="AR778" s="162"/>
      <c r="AS778" s="161"/>
      <c r="AT778" s="165"/>
      <c r="AU778" s="166"/>
      <c r="AV778" s="165"/>
      <c r="AW778" s="166"/>
      <c r="AX778" s="165"/>
      <c r="AY778" s="165"/>
      <c r="AZ778" s="165"/>
      <c r="BA778" s="165"/>
      <c r="BB778" s="166"/>
      <c r="BC778" s="165"/>
      <c r="BD778" s="165"/>
      <c r="BE778" s="165"/>
      <c r="BF778" s="165"/>
      <c r="BG778" s="165"/>
      <c r="BH778" s="165"/>
      <c r="BI778" s="165"/>
      <c r="BJ778" s="166"/>
      <c r="BK778" s="165"/>
      <c r="BL778" s="165"/>
      <c r="BM778" s="163"/>
      <c r="BN778" s="165"/>
      <c r="BO778" s="165"/>
      <c r="BP778" s="165"/>
      <c r="BQ778" s="167"/>
    </row>
    <row r="779" spans="1:270" ht="39.950000000000003" customHeight="1" outlineLevel="1" x14ac:dyDescent="0.3">
      <c r="A779" s="17" t="s">
        <v>978</v>
      </c>
      <c r="B779" s="12" t="s">
        <v>1010</v>
      </c>
      <c r="C779" s="9" t="s">
        <v>30</v>
      </c>
      <c r="D779" s="66">
        <v>243901423907</v>
      </c>
      <c r="E779" s="158">
        <f t="shared" si="166"/>
        <v>11305.423699999999</v>
      </c>
      <c r="F779" s="159">
        <f t="shared" si="167"/>
        <v>4805.22415</v>
      </c>
      <c r="G779" s="160">
        <f t="shared" si="168"/>
        <v>6500.1995499999994</v>
      </c>
      <c r="H779" s="166">
        <v>3553.31025</v>
      </c>
      <c r="I779" s="165">
        <v>1184.4367500000001</v>
      </c>
      <c r="J779" s="160"/>
      <c r="K779" s="160"/>
      <c r="L779" s="166">
        <f>833.89831+418.01559</f>
        <v>1251.9139</v>
      </c>
      <c r="M779" s="165">
        <f>1306.98264+655.16277</f>
        <v>1962.1454100000001</v>
      </c>
      <c r="N779" s="165"/>
      <c r="O779" s="165"/>
      <c r="P779" s="160"/>
      <c r="Q779" s="166"/>
      <c r="R779" s="165"/>
      <c r="S779" s="165"/>
      <c r="T779" s="159"/>
      <c r="U779" s="160"/>
      <c r="V779" s="165"/>
      <c r="W779" s="165"/>
      <c r="X779" s="160"/>
      <c r="Y779" s="166"/>
      <c r="Z779" s="160"/>
      <c r="AA779" s="160"/>
      <c r="AB779" s="165"/>
      <c r="AC779" s="165"/>
      <c r="AD779" s="165"/>
      <c r="AE779" s="165"/>
      <c r="AF779" s="160"/>
      <c r="AG779" s="160"/>
      <c r="AH779" s="160"/>
      <c r="AI779" s="160"/>
      <c r="AJ779" s="161"/>
      <c r="AK779" s="162"/>
      <c r="AL779" s="165"/>
      <c r="AM779" s="166"/>
      <c r="AN779" s="165"/>
      <c r="AO779" s="160"/>
      <c r="AP779" s="162"/>
      <c r="AQ779" s="161"/>
      <c r="AR779" s="162"/>
      <c r="AS779" s="161"/>
      <c r="AT779" s="165"/>
      <c r="AU779" s="166"/>
      <c r="AV779" s="165"/>
      <c r="AW779" s="166"/>
      <c r="AX779" s="165"/>
      <c r="AY779" s="165"/>
      <c r="AZ779" s="165"/>
      <c r="BA779" s="165"/>
      <c r="BB779" s="166"/>
      <c r="BC779" s="165"/>
      <c r="BD779" s="165"/>
      <c r="BE779" s="165"/>
      <c r="BF779" s="165"/>
      <c r="BG779" s="165">
        <v>353.61739</v>
      </c>
      <c r="BH779" s="165">
        <v>3000</v>
      </c>
      <c r="BI779" s="165"/>
      <c r="BJ779" s="166"/>
      <c r="BK779" s="165"/>
      <c r="BL779" s="165"/>
      <c r="BM779" s="163"/>
      <c r="BN779" s="165"/>
      <c r="BO779" s="165"/>
      <c r="BP779" s="165"/>
      <c r="BQ779" s="167"/>
    </row>
    <row r="780" spans="1:270" ht="39.950000000000003" customHeight="1" outlineLevel="1" x14ac:dyDescent="0.3">
      <c r="A780" s="17" t="s">
        <v>978</v>
      </c>
      <c r="B780" s="12" t="s">
        <v>1006</v>
      </c>
      <c r="C780" s="9" t="s">
        <v>30</v>
      </c>
      <c r="D780" s="66" t="s">
        <v>1007</v>
      </c>
      <c r="E780" s="158">
        <f t="shared" si="166"/>
        <v>1284.7543700000001</v>
      </c>
      <c r="F780" s="159">
        <f t="shared" si="167"/>
        <v>870.42304999999999</v>
      </c>
      <c r="G780" s="160">
        <f t="shared" si="168"/>
        <v>414.33132000000001</v>
      </c>
      <c r="H780" s="166">
        <v>769.78125</v>
      </c>
      <c r="I780" s="165">
        <v>256.59375</v>
      </c>
      <c r="J780" s="160"/>
      <c r="K780" s="160"/>
      <c r="L780" s="166">
        <v>100.6418</v>
      </c>
      <c r="M780" s="165">
        <v>157.73757000000001</v>
      </c>
      <c r="N780" s="165"/>
      <c r="O780" s="165"/>
      <c r="P780" s="160"/>
      <c r="Q780" s="166"/>
      <c r="R780" s="165"/>
      <c r="S780" s="165"/>
      <c r="T780" s="159"/>
      <c r="U780" s="160"/>
      <c r="V780" s="165"/>
      <c r="W780" s="165"/>
      <c r="X780" s="160"/>
      <c r="Y780" s="166"/>
      <c r="Z780" s="160"/>
      <c r="AA780" s="160"/>
      <c r="AB780" s="165"/>
      <c r="AC780" s="165"/>
      <c r="AD780" s="165"/>
      <c r="AE780" s="165"/>
      <c r="AF780" s="160"/>
      <c r="AG780" s="160"/>
      <c r="AH780" s="160"/>
      <c r="AI780" s="160"/>
      <c r="AJ780" s="161"/>
      <c r="AK780" s="162"/>
      <c r="AL780" s="165"/>
      <c r="AM780" s="166"/>
      <c r="AN780" s="165"/>
      <c r="AO780" s="160"/>
      <c r="AP780" s="162"/>
      <c r="AQ780" s="161"/>
      <c r="AR780" s="162"/>
      <c r="AS780" s="161"/>
      <c r="AT780" s="165"/>
      <c r="AU780" s="166"/>
      <c r="AV780" s="165"/>
      <c r="AW780" s="166"/>
      <c r="AX780" s="165"/>
      <c r="AY780" s="165"/>
      <c r="AZ780" s="165"/>
      <c r="BA780" s="165"/>
      <c r="BB780" s="166"/>
      <c r="BC780" s="165"/>
      <c r="BD780" s="165"/>
      <c r="BE780" s="165"/>
      <c r="BF780" s="165"/>
      <c r="BG780" s="165"/>
      <c r="BH780" s="165"/>
      <c r="BI780" s="165"/>
      <c r="BJ780" s="166"/>
      <c r="BK780" s="165"/>
      <c r="BL780" s="165"/>
      <c r="BM780" s="163"/>
      <c r="BN780" s="165"/>
      <c r="BO780" s="165"/>
      <c r="BP780" s="165"/>
      <c r="BQ780" s="167"/>
    </row>
    <row r="781" spans="1:270" ht="39.950000000000003" customHeight="1" outlineLevel="1" x14ac:dyDescent="0.3">
      <c r="A781" s="17" t="s">
        <v>978</v>
      </c>
      <c r="B781" s="12" t="s">
        <v>1008</v>
      </c>
      <c r="C781" s="9" t="s">
        <v>30</v>
      </c>
      <c r="D781" s="66" t="s">
        <v>1009</v>
      </c>
      <c r="E781" s="158">
        <f t="shared" si="166"/>
        <v>252.28294</v>
      </c>
      <c r="F781" s="159">
        <f t="shared" si="167"/>
        <v>98.267169999999993</v>
      </c>
      <c r="G781" s="160">
        <f t="shared" si="168"/>
        <v>154.01577</v>
      </c>
      <c r="H781" s="166"/>
      <c r="I781" s="165"/>
      <c r="J781" s="160"/>
      <c r="K781" s="160"/>
      <c r="L781" s="166">
        <v>98.267169999999993</v>
      </c>
      <c r="M781" s="165">
        <v>154.01577</v>
      </c>
      <c r="N781" s="165"/>
      <c r="O781" s="165"/>
      <c r="P781" s="160"/>
      <c r="Q781" s="166"/>
      <c r="R781" s="165"/>
      <c r="S781" s="165"/>
      <c r="T781" s="159"/>
      <c r="U781" s="160"/>
      <c r="V781" s="165"/>
      <c r="W781" s="165"/>
      <c r="X781" s="160"/>
      <c r="Y781" s="166"/>
      <c r="Z781" s="160"/>
      <c r="AA781" s="160"/>
      <c r="AB781" s="165"/>
      <c r="AC781" s="165"/>
      <c r="AD781" s="165"/>
      <c r="AE781" s="165"/>
      <c r="AF781" s="160"/>
      <c r="AG781" s="160"/>
      <c r="AH781" s="160"/>
      <c r="AI781" s="160"/>
      <c r="AJ781" s="161"/>
      <c r="AK781" s="162"/>
      <c r="AL781" s="165"/>
      <c r="AM781" s="166"/>
      <c r="AN781" s="165"/>
      <c r="AO781" s="160"/>
      <c r="AP781" s="162"/>
      <c r="AQ781" s="161"/>
      <c r="AR781" s="162"/>
      <c r="AS781" s="161"/>
      <c r="AT781" s="165"/>
      <c r="AU781" s="166"/>
      <c r="AV781" s="165"/>
      <c r="AW781" s="166"/>
      <c r="AX781" s="165"/>
      <c r="AY781" s="165"/>
      <c r="AZ781" s="165"/>
      <c r="BA781" s="165"/>
      <c r="BB781" s="166"/>
      <c r="BC781" s="165"/>
      <c r="BD781" s="165"/>
      <c r="BE781" s="165"/>
      <c r="BF781" s="165"/>
      <c r="BG781" s="165"/>
      <c r="BH781" s="165"/>
      <c r="BI781" s="165"/>
      <c r="BJ781" s="166"/>
      <c r="BK781" s="165"/>
      <c r="BL781" s="165"/>
      <c r="BM781" s="163"/>
      <c r="BN781" s="165"/>
      <c r="BO781" s="165"/>
      <c r="BP781" s="165"/>
      <c r="BQ781" s="167"/>
    </row>
    <row r="782" spans="1:270" ht="39.950000000000003" customHeight="1" outlineLevel="1" x14ac:dyDescent="0.3">
      <c r="A782" s="17" t="s">
        <v>978</v>
      </c>
      <c r="B782" s="12" t="s">
        <v>991</v>
      </c>
      <c r="C782" s="9" t="s">
        <v>30</v>
      </c>
      <c r="D782" s="66" t="s">
        <v>992</v>
      </c>
      <c r="E782" s="158">
        <f t="shared" si="166"/>
        <v>929.4923</v>
      </c>
      <c r="F782" s="159">
        <f t="shared" si="167"/>
        <v>256.37594000000001</v>
      </c>
      <c r="G782" s="160">
        <f t="shared" si="168"/>
        <v>673.11635999999999</v>
      </c>
      <c r="H782" s="166">
        <v>205.27500000000001</v>
      </c>
      <c r="I782" s="165">
        <v>68.424999999999997</v>
      </c>
      <c r="J782" s="160"/>
      <c r="K782" s="160"/>
      <c r="L782" s="166">
        <v>51.100940000000001</v>
      </c>
      <c r="M782" s="165">
        <v>80.091359999999995</v>
      </c>
      <c r="N782" s="165"/>
      <c r="O782" s="165"/>
      <c r="P782" s="160"/>
      <c r="Q782" s="166"/>
      <c r="R782" s="165"/>
      <c r="S782" s="165">
        <v>108.6</v>
      </c>
      <c r="T782" s="159"/>
      <c r="U782" s="160"/>
      <c r="V782" s="165"/>
      <c r="W782" s="165">
        <v>416</v>
      </c>
      <c r="X782" s="160"/>
      <c r="Y782" s="166"/>
      <c r="Z782" s="160"/>
      <c r="AA782" s="160"/>
      <c r="AB782" s="165"/>
      <c r="AC782" s="165"/>
      <c r="AD782" s="165"/>
      <c r="AE782" s="165"/>
      <c r="AF782" s="160"/>
      <c r="AG782" s="160"/>
      <c r="AH782" s="160"/>
      <c r="AI782" s="160"/>
      <c r="AJ782" s="161"/>
      <c r="AK782" s="162"/>
      <c r="AL782" s="165"/>
      <c r="AM782" s="166"/>
      <c r="AN782" s="165"/>
      <c r="AO782" s="160"/>
      <c r="AP782" s="162"/>
      <c r="AQ782" s="161"/>
      <c r="AR782" s="162"/>
      <c r="AS782" s="161"/>
      <c r="AT782" s="165"/>
      <c r="AU782" s="166"/>
      <c r="AV782" s="165"/>
      <c r="AW782" s="166"/>
      <c r="AX782" s="165"/>
      <c r="AY782" s="165"/>
      <c r="AZ782" s="165"/>
      <c r="BA782" s="165"/>
      <c r="BB782" s="166"/>
      <c r="BC782" s="165"/>
      <c r="BD782" s="165"/>
      <c r="BE782" s="165"/>
      <c r="BF782" s="165"/>
      <c r="BG782" s="165"/>
      <c r="BH782" s="165"/>
      <c r="BI782" s="165"/>
      <c r="BJ782" s="166"/>
      <c r="BK782" s="165"/>
      <c r="BL782" s="165"/>
      <c r="BM782" s="163"/>
      <c r="BN782" s="165"/>
      <c r="BO782" s="165"/>
      <c r="BP782" s="165"/>
      <c r="BQ782" s="167"/>
    </row>
    <row r="783" spans="1:270" ht="39.950000000000003" customHeight="1" outlineLevel="1" x14ac:dyDescent="0.3">
      <c r="A783" s="17" t="s">
        <v>978</v>
      </c>
      <c r="B783" s="12" t="s">
        <v>993</v>
      </c>
      <c r="C783" s="9" t="s">
        <v>30</v>
      </c>
      <c r="D783" s="66" t="s">
        <v>994</v>
      </c>
      <c r="E783" s="158">
        <f t="shared" si="166"/>
        <v>70.943870000000004</v>
      </c>
      <c r="F783" s="159">
        <f t="shared" si="167"/>
        <v>50.326570000000004</v>
      </c>
      <c r="G783" s="160">
        <f t="shared" si="168"/>
        <v>20.6173</v>
      </c>
      <c r="H783" s="166">
        <v>47.213250000000002</v>
      </c>
      <c r="I783" s="165">
        <v>15.73775</v>
      </c>
      <c r="J783" s="160"/>
      <c r="K783" s="160"/>
      <c r="L783" s="166">
        <v>3.1133199999999999</v>
      </c>
      <c r="M783" s="165">
        <v>4.8795500000000001</v>
      </c>
      <c r="N783" s="165"/>
      <c r="O783" s="165"/>
      <c r="P783" s="160"/>
      <c r="Q783" s="166"/>
      <c r="R783" s="165"/>
      <c r="S783" s="165"/>
      <c r="T783" s="159"/>
      <c r="U783" s="160"/>
      <c r="V783" s="165"/>
      <c r="W783" s="165"/>
      <c r="X783" s="160"/>
      <c r="Y783" s="166"/>
      <c r="Z783" s="160"/>
      <c r="AA783" s="160"/>
      <c r="AB783" s="165"/>
      <c r="AC783" s="165"/>
      <c r="AD783" s="165"/>
      <c r="AE783" s="165"/>
      <c r="AF783" s="160"/>
      <c r="AG783" s="160"/>
      <c r="AH783" s="160"/>
      <c r="AI783" s="160"/>
      <c r="AJ783" s="161"/>
      <c r="AK783" s="162"/>
      <c r="AL783" s="165"/>
      <c r="AM783" s="166"/>
      <c r="AN783" s="165"/>
      <c r="AO783" s="160"/>
      <c r="AP783" s="162"/>
      <c r="AQ783" s="161"/>
      <c r="AR783" s="162"/>
      <c r="AS783" s="161"/>
      <c r="AT783" s="165"/>
      <c r="AU783" s="166"/>
      <c r="AV783" s="165"/>
      <c r="AW783" s="166"/>
      <c r="AX783" s="165"/>
      <c r="AY783" s="165"/>
      <c r="AZ783" s="165"/>
      <c r="BA783" s="165"/>
      <c r="BB783" s="166"/>
      <c r="BC783" s="165"/>
      <c r="BD783" s="165"/>
      <c r="BE783" s="165"/>
      <c r="BF783" s="165"/>
      <c r="BG783" s="165"/>
      <c r="BH783" s="165"/>
      <c r="BI783" s="165"/>
      <c r="BJ783" s="166"/>
      <c r="BK783" s="165"/>
      <c r="BL783" s="165"/>
      <c r="BM783" s="163"/>
      <c r="BN783" s="165"/>
      <c r="BO783" s="165"/>
      <c r="BP783" s="165"/>
      <c r="BQ783" s="167"/>
    </row>
    <row r="784" spans="1:270" ht="39.950000000000003" customHeight="1" outlineLevel="1" x14ac:dyDescent="0.3">
      <c r="A784" s="17" t="s">
        <v>978</v>
      </c>
      <c r="B784" s="12" t="s">
        <v>1313</v>
      </c>
      <c r="C784" s="9" t="s">
        <v>30</v>
      </c>
      <c r="D784" s="66">
        <v>243904503237</v>
      </c>
      <c r="E784" s="158">
        <f t="shared" si="166"/>
        <v>257.92</v>
      </c>
      <c r="F784" s="159">
        <f t="shared" si="167"/>
        <v>0</v>
      </c>
      <c r="G784" s="160">
        <f t="shared" si="168"/>
        <v>257.92</v>
      </c>
      <c r="H784" s="166"/>
      <c r="I784" s="165"/>
      <c r="J784" s="160"/>
      <c r="K784" s="160"/>
      <c r="L784" s="166"/>
      <c r="M784" s="165"/>
      <c r="N784" s="165"/>
      <c r="O784" s="165"/>
      <c r="P784" s="160"/>
      <c r="Q784" s="166"/>
      <c r="R784" s="165"/>
      <c r="S784" s="165"/>
      <c r="T784" s="159"/>
      <c r="U784" s="160"/>
      <c r="V784" s="165"/>
      <c r="W784" s="165">
        <v>257.92</v>
      </c>
      <c r="X784" s="160"/>
      <c r="Y784" s="166"/>
      <c r="Z784" s="160"/>
      <c r="AA784" s="160"/>
      <c r="AB784" s="165"/>
      <c r="AC784" s="165"/>
      <c r="AD784" s="165"/>
      <c r="AE784" s="165"/>
      <c r="AF784" s="160"/>
      <c r="AG784" s="160"/>
      <c r="AH784" s="160"/>
      <c r="AI784" s="160"/>
      <c r="AJ784" s="161"/>
      <c r="AK784" s="162"/>
      <c r="AL784" s="165"/>
      <c r="AM784" s="166"/>
      <c r="AN784" s="165"/>
      <c r="AO784" s="160"/>
      <c r="AP784" s="162"/>
      <c r="AQ784" s="161"/>
      <c r="AR784" s="162"/>
      <c r="AS784" s="161"/>
      <c r="AT784" s="165"/>
      <c r="AU784" s="166"/>
      <c r="AV784" s="165"/>
      <c r="AW784" s="166"/>
      <c r="AX784" s="165"/>
      <c r="AY784" s="165"/>
      <c r="AZ784" s="165"/>
      <c r="BA784" s="165"/>
      <c r="BB784" s="166"/>
      <c r="BC784" s="165"/>
      <c r="BD784" s="165"/>
      <c r="BE784" s="165"/>
      <c r="BF784" s="165"/>
      <c r="BG784" s="165"/>
      <c r="BH784" s="165"/>
      <c r="BI784" s="165"/>
      <c r="BJ784" s="166"/>
      <c r="BK784" s="165"/>
      <c r="BL784" s="165"/>
      <c r="BM784" s="163"/>
      <c r="BN784" s="165"/>
      <c r="BO784" s="165"/>
      <c r="BP784" s="165"/>
      <c r="BQ784" s="167"/>
    </row>
    <row r="785" spans="1:270" ht="39.950000000000003" customHeight="1" outlineLevel="1" x14ac:dyDescent="0.3">
      <c r="A785" s="17" t="s">
        <v>978</v>
      </c>
      <c r="B785" s="12" t="s">
        <v>1011</v>
      </c>
      <c r="C785" s="9" t="s">
        <v>30</v>
      </c>
      <c r="D785" s="66" t="s">
        <v>1012</v>
      </c>
      <c r="E785" s="158">
        <f t="shared" si="166"/>
        <v>325.90642000000003</v>
      </c>
      <c r="F785" s="159">
        <f t="shared" si="167"/>
        <v>126.94438</v>
      </c>
      <c r="G785" s="160">
        <f t="shared" si="168"/>
        <v>198.96204</v>
      </c>
      <c r="H785" s="166"/>
      <c r="I785" s="165"/>
      <c r="J785" s="160"/>
      <c r="K785" s="160"/>
      <c r="L785" s="166">
        <v>126.94438</v>
      </c>
      <c r="M785" s="165">
        <v>198.96204</v>
      </c>
      <c r="N785" s="165"/>
      <c r="O785" s="165"/>
      <c r="P785" s="160"/>
      <c r="Q785" s="166"/>
      <c r="R785" s="165"/>
      <c r="S785" s="165"/>
      <c r="T785" s="159"/>
      <c r="U785" s="160"/>
      <c r="V785" s="165"/>
      <c r="W785" s="165"/>
      <c r="X785" s="160"/>
      <c r="Y785" s="166"/>
      <c r="Z785" s="160"/>
      <c r="AA785" s="160"/>
      <c r="AB785" s="165"/>
      <c r="AC785" s="165"/>
      <c r="AD785" s="165"/>
      <c r="AE785" s="165"/>
      <c r="AF785" s="160"/>
      <c r="AG785" s="160"/>
      <c r="AH785" s="160"/>
      <c r="AI785" s="160"/>
      <c r="AJ785" s="161"/>
      <c r="AK785" s="162"/>
      <c r="AL785" s="165"/>
      <c r="AM785" s="166"/>
      <c r="AN785" s="165"/>
      <c r="AO785" s="160"/>
      <c r="AP785" s="162"/>
      <c r="AQ785" s="161"/>
      <c r="AR785" s="162"/>
      <c r="AS785" s="161"/>
      <c r="AT785" s="165"/>
      <c r="AU785" s="166"/>
      <c r="AV785" s="165"/>
      <c r="AW785" s="166"/>
      <c r="AX785" s="165"/>
      <c r="AY785" s="165"/>
      <c r="AZ785" s="165"/>
      <c r="BA785" s="165"/>
      <c r="BB785" s="166"/>
      <c r="BC785" s="165"/>
      <c r="BD785" s="165"/>
      <c r="BE785" s="165"/>
      <c r="BF785" s="165"/>
      <c r="BG785" s="165"/>
      <c r="BH785" s="165"/>
      <c r="BI785" s="165"/>
      <c r="BJ785" s="166"/>
      <c r="BK785" s="165"/>
      <c r="BL785" s="165"/>
      <c r="BM785" s="163"/>
      <c r="BN785" s="165"/>
      <c r="BO785" s="165"/>
      <c r="BP785" s="165"/>
      <c r="BQ785" s="167"/>
    </row>
    <row r="786" spans="1:270" ht="39.950000000000003" customHeight="1" outlineLevel="1" x14ac:dyDescent="0.3">
      <c r="A786" s="15" t="s">
        <v>978</v>
      </c>
      <c r="B786" s="12" t="s">
        <v>979</v>
      </c>
      <c r="C786" s="9" t="s">
        <v>6</v>
      </c>
      <c r="D786" s="66" t="s">
        <v>980</v>
      </c>
      <c r="E786" s="158">
        <f t="shared" si="166"/>
        <v>3528.9003399999997</v>
      </c>
      <c r="F786" s="159">
        <f t="shared" si="167"/>
        <v>374.66825999999998</v>
      </c>
      <c r="G786" s="160">
        <f t="shared" si="168"/>
        <v>3154.2320799999998</v>
      </c>
      <c r="H786" s="166"/>
      <c r="I786" s="165"/>
      <c r="J786" s="160"/>
      <c r="K786" s="160"/>
      <c r="L786" s="166"/>
      <c r="M786" s="165"/>
      <c r="N786" s="165"/>
      <c r="O786" s="165"/>
      <c r="P786" s="160"/>
      <c r="Q786" s="166"/>
      <c r="R786" s="165"/>
      <c r="S786" s="165"/>
      <c r="T786" s="159"/>
      <c r="U786" s="160"/>
      <c r="V786" s="165"/>
      <c r="W786" s="165"/>
      <c r="X786" s="160"/>
      <c r="Y786" s="166">
        <v>374.66825999999998</v>
      </c>
      <c r="Z786" s="160">
        <v>124.88942</v>
      </c>
      <c r="AA786" s="160">
        <v>1539.10932</v>
      </c>
      <c r="AB786" s="165"/>
      <c r="AC786" s="165"/>
      <c r="AD786" s="165"/>
      <c r="AE786" s="165"/>
      <c r="AF786" s="160"/>
      <c r="AG786" s="160"/>
      <c r="AH786" s="160"/>
      <c r="AI786" s="160"/>
      <c r="AJ786" s="161"/>
      <c r="AK786" s="162"/>
      <c r="AL786" s="165"/>
      <c r="AM786" s="166"/>
      <c r="AN786" s="165"/>
      <c r="AO786" s="160"/>
      <c r="AP786" s="162"/>
      <c r="AQ786" s="161"/>
      <c r="AR786" s="162"/>
      <c r="AS786" s="161"/>
      <c r="AT786" s="165"/>
      <c r="AU786" s="166"/>
      <c r="AV786" s="165"/>
      <c r="AW786" s="166"/>
      <c r="AX786" s="165"/>
      <c r="AY786" s="165"/>
      <c r="AZ786" s="165"/>
      <c r="BA786" s="165"/>
      <c r="BB786" s="166"/>
      <c r="BC786" s="165"/>
      <c r="BD786" s="165"/>
      <c r="BE786" s="165">
        <v>1490.23334</v>
      </c>
      <c r="BF786" s="165"/>
      <c r="BG786" s="165"/>
      <c r="BH786" s="165"/>
      <c r="BI786" s="165"/>
      <c r="BJ786" s="166"/>
      <c r="BK786" s="165"/>
      <c r="BL786" s="165"/>
      <c r="BM786" s="163"/>
      <c r="BN786" s="165"/>
      <c r="BO786" s="165"/>
      <c r="BP786" s="165"/>
      <c r="BQ786" s="167"/>
    </row>
    <row r="787" spans="1:270" ht="39.950000000000003" customHeight="1" outlineLevel="1" x14ac:dyDescent="0.3">
      <c r="A787" s="15" t="s">
        <v>978</v>
      </c>
      <c r="B787" s="12" t="s">
        <v>1320</v>
      </c>
      <c r="C787" s="9" t="s">
        <v>6</v>
      </c>
      <c r="D787" s="66" t="s">
        <v>981</v>
      </c>
      <c r="E787" s="158">
        <f t="shared" si="166"/>
        <v>160980.75253999999</v>
      </c>
      <c r="F787" s="159">
        <f t="shared" si="167"/>
        <v>34265.099280000002</v>
      </c>
      <c r="G787" s="160">
        <f t="shared" si="168"/>
        <v>126715.65325999999</v>
      </c>
      <c r="H787" s="166"/>
      <c r="I787" s="165"/>
      <c r="J787" s="160">
        <v>672</v>
      </c>
      <c r="K787" s="160"/>
      <c r="L787" s="166">
        <v>12062.98272</v>
      </c>
      <c r="M787" s="165">
        <v>18906.512859999999</v>
      </c>
      <c r="N787" s="165"/>
      <c r="O787" s="165"/>
      <c r="P787" s="160"/>
      <c r="Q787" s="166">
        <v>13011.71364</v>
      </c>
      <c r="R787" s="165">
        <v>4337.2378799999997</v>
      </c>
      <c r="S787" s="165"/>
      <c r="T787" s="159"/>
      <c r="U787" s="160"/>
      <c r="V787" s="165"/>
      <c r="W787" s="165">
        <v>7188.48</v>
      </c>
      <c r="X787" s="160"/>
      <c r="Y787" s="166">
        <v>9190.4029200000004</v>
      </c>
      <c r="Z787" s="160">
        <v>3063.4676399999998</v>
      </c>
      <c r="AA787" s="160">
        <v>41917.078699999998</v>
      </c>
      <c r="AB787" s="165"/>
      <c r="AC787" s="165"/>
      <c r="AD787" s="165"/>
      <c r="AE787" s="165"/>
      <c r="AF787" s="160">
        <v>19369.29348</v>
      </c>
      <c r="AG787" s="160"/>
      <c r="AH787" s="160"/>
      <c r="AI787" s="160">
        <v>27863.835709999999</v>
      </c>
      <c r="AJ787" s="161"/>
      <c r="AK787" s="162"/>
      <c r="AL787" s="165"/>
      <c r="AM787" s="166"/>
      <c r="AN787" s="165"/>
      <c r="AO787" s="160"/>
      <c r="AP787" s="162"/>
      <c r="AQ787" s="161"/>
      <c r="AR787" s="162"/>
      <c r="AS787" s="161"/>
      <c r="AT787" s="165"/>
      <c r="AU787" s="166"/>
      <c r="AV787" s="165"/>
      <c r="AW787" s="166"/>
      <c r="AX787" s="165"/>
      <c r="AY787" s="165"/>
      <c r="AZ787" s="165"/>
      <c r="BA787" s="165">
        <v>263.6096</v>
      </c>
      <c r="BB787" s="166"/>
      <c r="BC787" s="165"/>
      <c r="BD787" s="165"/>
      <c r="BE787" s="165"/>
      <c r="BF787" s="165"/>
      <c r="BG787" s="165"/>
      <c r="BH787" s="165"/>
      <c r="BI787" s="165"/>
      <c r="BJ787" s="166"/>
      <c r="BK787" s="165"/>
      <c r="BL787" s="165"/>
      <c r="BM787" s="163"/>
      <c r="BN787" s="165"/>
      <c r="BO787" s="165">
        <v>3134.1373899999999</v>
      </c>
      <c r="BP787" s="165"/>
      <c r="BQ787" s="167"/>
    </row>
    <row r="788" spans="1:270" ht="39.950000000000003" customHeight="1" outlineLevel="1" x14ac:dyDescent="0.3">
      <c r="A788" s="15" t="s">
        <v>978</v>
      </c>
      <c r="B788" s="12" t="s">
        <v>982</v>
      </c>
      <c r="C788" s="9" t="s">
        <v>6</v>
      </c>
      <c r="D788" s="66" t="s">
        <v>983</v>
      </c>
      <c r="E788" s="158">
        <f t="shared" si="166"/>
        <v>148692.27387999999</v>
      </c>
      <c r="F788" s="159">
        <f t="shared" si="167"/>
        <v>42815.499179999999</v>
      </c>
      <c r="G788" s="160">
        <f t="shared" si="168"/>
        <v>105876.77470000001</v>
      </c>
      <c r="H788" s="166">
        <v>10795.05</v>
      </c>
      <c r="I788" s="165">
        <v>3598.35</v>
      </c>
      <c r="J788" s="160">
        <v>759.73800000000006</v>
      </c>
      <c r="K788" s="160"/>
      <c r="L788" s="166">
        <f>7527.97408+457.50395</f>
        <v>7985.4780300000002</v>
      </c>
      <c r="M788" s="165">
        <f>11798.7186+717.05352</f>
        <v>12515.77212</v>
      </c>
      <c r="N788" s="165"/>
      <c r="O788" s="165"/>
      <c r="P788" s="160"/>
      <c r="Q788" s="166">
        <v>13436.00865</v>
      </c>
      <c r="R788" s="165">
        <v>4478.6695499999996</v>
      </c>
      <c r="S788" s="165"/>
      <c r="T788" s="159"/>
      <c r="U788" s="160"/>
      <c r="V788" s="165"/>
      <c r="W788" s="165">
        <v>474.24</v>
      </c>
      <c r="X788" s="160"/>
      <c r="Y788" s="159">
        <v>10598.9625</v>
      </c>
      <c r="Z788" s="160">
        <v>3532.9875000000002</v>
      </c>
      <c r="AA788" s="160">
        <v>47109.470110000002</v>
      </c>
      <c r="AB788" s="165"/>
      <c r="AC788" s="165"/>
      <c r="AD788" s="165"/>
      <c r="AE788" s="165"/>
      <c r="AF788" s="160"/>
      <c r="AG788" s="160"/>
      <c r="AH788" s="160"/>
      <c r="AI788" s="160">
        <v>11595.278990000001</v>
      </c>
      <c r="AJ788" s="161"/>
      <c r="AK788" s="162"/>
      <c r="AL788" s="165"/>
      <c r="AM788" s="166"/>
      <c r="AN788" s="165"/>
      <c r="AO788" s="160"/>
      <c r="AP788" s="162"/>
      <c r="AQ788" s="161"/>
      <c r="AR788" s="162"/>
      <c r="AS788" s="161"/>
      <c r="AT788" s="165"/>
      <c r="AU788" s="166"/>
      <c r="AV788" s="165"/>
      <c r="AW788" s="166"/>
      <c r="AX788" s="165"/>
      <c r="AY788" s="165">
        <v>3939.7170900000001</v>
      </c>
      <c r="AZ788" s="165"/>
      <c r="BA788" s="165">
        <v>3898.8085999999998</v>
      </c>
      <c r="BB788" s="166"/>
      <c r="BC788" s="165"/>
      <c r="BD788" s="165"/>
      <c r="BE788" s="165">
        <v>1788.02044</v>
      </c>
      <c r="BF788" s="165">
        <v>1502.8703399999999</v>
      </c>
      <c r="BG788" s="165">
        <v>1891.5514499999999</v>
      </c>
      <c r="BH788" s="165"/>
      <c r="BI788" s="165"/>
      <c r="BJ788" s="166"/>
      <c r="BK788" s="165"/>
      <c r="BL788" s="165"/>
      <c r="BM788" s="163">
        <v>5457.1679999999997</v>
      </c>
      <c r="BN788" s="165">
        <v>17.38</v>
      </c>
      <c r="BO788" s="165">
        <v>3316.7525099999998</v>
      </c>
      <c r="BP788" s="165"/>
      <c r="BQ788" s="167"/>
    </row>
    <row r="789" spans="1:270" ht="39.950000000000003" customHeight="1" outlineLevel="1" x14ac:dyDescent="0.3">
      <c r="A789" s="15" t="s">
        <v>978</v>
      </c>
      <c r="B789" s="12" t="s">
        <v>477</v>
      </c>
      <c r="C789" s="9" t="s">
        <v>6</v>
      </c>
      <c r="D789" s="66" t="s">
        <v>984</v>
      </c>
      <c r="E789" s="158">
        <f t="shared" si="166"/>
        <v>7997.3239599999997</v>
      </c>
      <c r="F789" s="159">
        <f t="shared" si="167"/>
        <v>2700.4709600000001</v>
      </c>
      <c r="G789" s="160">
        <f t="shared" si="168"/>
        <v>5296.8530000000001</v>
      </c>
      <c r="H789" s="166">
        <v>198.6489</v>
      </c>
      <c r="I789" s="165">
        <v>66.216309999999993</v>
      </c>
      <c r="J789" s="160"/>
      <c r="K789" s="160"/>
      <c r="L789" s="166">
        <v>2501.82206</v>
      </c>
      <c r="M789" s="165">
        <v>3921.1471900000001</v>
      </c>
      <c r="N789" s="165"/>
      <c r="O789" s="165"/>
      <c r="P789" s="160"/>
      <c r="Q789" s="166"/>
      <c r="R789" s="165"/>
      <c r="S789" s="165"/>
      <c r="T789" s="159"/>
      <c r="U789" s="160"/>
      <c r="V789" s="165"/>
      <c r="W789" s="165"/>
      <c r="X789" s="160"/>
      <c r="Y789" s="166"/>
      <c r="Z789" s="160"/>
      <c r="AA789" s="160"/>
      <c r="AB789" s="165"/>
      <c r="AC789" s="165"/>
      <c r="AD789" s="165"/>
      <c r="AE789" s="165"/>
      <c r="AF789" s="160"/>
      <c r="AG789" s="160"/>
      <c r="AH789" s="160"/>
      <c r="AI789" s="160"/>
      <c r="AJ789" s="161"/>
      <c r="AK789" s="162"/>
      <c r="AL789" s="165"/>
      <c r="AM789" s="166"/>
      <c r="AN789" s="165"/>
      <c r="AO789" s="160"/>
      <c r="AP789" s="162"/>
      <c r="AQ789" s="161"/>
      <c r="AR789" s="162"/>
      <c r="AS789" s="161"/>
      <c r="AT789" s="165"/>
      <c r="AU789" s="166"/>
      <c r="AV789" s="165"/>
      <c r="AW789" s="166"/>
      <c r="AX789" s="165"/>
      <c r="AY789" s="165"/>
      <c r="AZ789" s="165"/>
      <c r="BA789" s="165"/>
      <c r="BB789" s="166"/>
      <c r="BC789" s="165"/>
      <c r="BD789" s="165"/>
      <c r="BE789" s="165"/>
      <c r="BF789" s="165"/>
      <c r="BG789" s="165">
        <v>1309.4894999999999</v>
      </c>
      <c r="BH789" s="165"/>
      <c r="BI789" s="165"/>
      <c r="BJ789" s="166"/>
      <c r="BK789" s="165"/>
      <c r="BL789" s="165"/>
      <c r="BM789" s="163"/>
      <c r="BN789" s="165"/>
      <c r="BO789" s="165"/>
      <c r="BP789" s="165"/>
      <c r="BQ789" s="167"/>
    </row>
    <row r="790" spans="1:270" ht="39.950000000000003" customHeight="1" outlineLevel="1" x14ac:dyDescent="0.3">
      <c r="A790" s="15" t="s">
        <v>978</v>
      </c>
      <c r="B790" s="12" t="s">
        <v>985</v>
      </c>
      <c r="C790" s="9" t="s">
        <v>6</v>
      </c>
      <c r="D790" s="66" t="s">
        <v>986</v>
      </c>
      <c r="E790" s="158">
        <f t="shared" si="166"/>
        <v>1463.41626</v>
      </c>
      <c r="F790" s="159">
        <f t="shared" si="167"/>
        <v>521.45696999999996</v>
      </c>
      <c r="G790" s="160">
        <f t="shared" si="168"/>
        <v>941.95929000000001</v>
      </c>
      <c r="H790" s="166"/>
      <c r="I790" s="165"/>
      <c r="J790" s="160"/>
      <c r="K790" s="160"/>
      <c r="L790" s="166">
        <v>374.392</v>
      </c>
      <c r="M790" s="165">
        <v>586.79079000000002</v>
      </c>
      <c r="N790" s="165"/>
      <c r="O790" s="165"/>
      <c r="P790" s="160"/>
      <c r="Q790" s="166"/>
      <c r="R790" s="165"/>
      <c r="S790" s="165"/>
      <c r="T790" s="159"/>
      <c r="U790" s="160"/>
      <c r="V790" s="165"/>
      <c r="W790" s="165">
        <v>266.24</v>
      </c>
      <c r="X790" s="160"/>
      <c r="Y790" s="166"/>
      <c r="Z790" s="160"/>
      <c r="AA790" s="160"/>
      <c r="AB790" s="165"/>
      <c r="AC790" s="165"/>
      <c r="AD790" s="165"/>
      <c r="AE790" s="165"/>
      <c r="AF790" s="160"/>
      <c r="AG790" s="160"/>
      <c r="AH790" s="160"/>
      <c r="AI790" s="160"/>
      <c r="AJ790" s="161"/>
      <c r="AK790" s="162"/>
      <c r="AL790" s="165"/>
      <c r="AM790" s="166"/>
      <c r="AN790" s="165"/>
      <c r="AO790" s="160"/>
      <c r="AP790" s="162"/>
      <c r="AQ790" s="161"/>
      <c r="AR790" s="162"/>
      <c r="AS790" s="161"/>
      <c r="AT790" s="165"/>
      <c r="AU790" s="166"/>
      <c r="AV790" s="165"/>
      <c r="AW790" s="166">
        <v>147.06496999999999</v>
      </c>
      <c r="AX790" s="165">
        <v>43.9285</v>
      </c>
      <c r="AY790" s="165"/>
      <c r="AZ790" s="165"/>
      <c r="BA790" s="165"/>
      <c r="BB790" s="166"/>
      <c r="BC790" s="165"/>
      <c r="BD790" s="165"/>
      <c r="BE790" s="165"/>
      <c r="BF790" s="165"/>
      <c r="BG790" s="165">
        <v>45</v>
      </c>
      <c r="BH790" s="165"/>
      <c r="BI790" s="165"/>
      <c r="BJ790" s="166"/>
      <c r="BK790" s="165"/>
      <c r="BL790" s="165"/>
      <c r="BM790" s="163"/>
      <c r="BN790" s="165"/>
      <c r="BO790" s="165"/>
      <c r="BP790" s="165"/>
      <c r="BQ790" s="167"/>
    </row>
    <row r="791" spans="1:270" ht="39.950000000000003" customHeight="1" outlineLevel="1" x14ac:dyDescent="0.3">
      <c r="A791" s="17" t="s">
        <v>978</v>
      </c>
      <c r="B791" s="12" t="s">
        <v>1565</v>
      </c>
      <c r="C791" s="9" t="s">
        <v>6</v>
      </c>
      <c r="D791" s="66">
        <v>2461022289</v>
      </c>
      <c r="E791" s="158">
        <f t="shared" si="166"/>
        <v>29669.181170000003</v>
      </c>
      <c r="F791" s="159">
        <f t="shared" si="167"/>
        <v>9796.0569599999999</v>
      </c>
      <c r="G791" s="160">
        <f t="shared" si="168"/>
        <v>19873.124210000002</v>
      </c>
      <c r="H791" s="189">
        <v>5805.1769999999997</v>
      </c>
      <c r="I791" s="165">
        <v>1935.059</v>
      </c>
      <c r="J791" s="180"/>
      <c r="K791" s="180"/>
      <c r="L791" s="166">
        <v>3488.5194499999998</v>
      </c>
      <c r="M791" s="165">
        <v>5467.6143900000006</v>
      </c>
      <c r="N791" s="165"/>
      <c r="O791" s="190"/>
      <c r="P791" s="180"/>
      <c r="Q791" s="191"/>
      <c r="R791" s="190"/>
      <c r="S791" s="165">
        <v>89.0625</v>
      </c>
      <c r="T791" s="192"/>
      <c r="U791" s="180"/>
      <c r="V791" s="190"/>
      <c r="W791" s="165">
        <v>407.68</v>
      </c>
      <c r="X791" s="160"/>
      <c r="Y791" s="191"/>
      <c r="Z791" s="180"/>
      <c r="AA791" s="160"/>
      <c r="AB791" s="190"/>
      <c r="AC791" s="190"/>
      <c r="AD791" s="190"/>
      <c r="AE791" s="190"/>
      <c r="AF791" s="180"/>
      <c r="AG791" s="180"/>
      <c r="AH791" s="160"/>
      <c r="AI791" s="180"/>
      <c r="AJ791" s="161"/>
      <c r="AK791" s="162"/>
      <c r="AL791" s="165"/>
      <c r="AM791" s="166"/>
      <c r="AN791" s="165"/>
      <c r="AO791" s="180"/>
      <c r="AP791" s="162"/>
      <c r="AQ791" s="161"/>
      <c r="AR791" s="162"/>
      <c r="AS791" s="161"/>
      <c r="AT791" s="190"/>
      <c r="AU791" s="191"/>
      <c r="AV791" s="190"/>
      <c r="AW791" s="166">
        <f>346.92922+51.40165+104.02964</f>
        <v>502.36050999999998</v>
      </c>
      <c r="AX791" s="165">
        <f>9.91458+20.07614+103.62821+15.35374+31.07379</f>
        <v>180.04646</v>
      </c>
      <c r="AY791" s="165"/>
      <c r="AZ791" s="165"/>
      <c r="BA791" s="190">
        <v>1889.2372800000001</v>
      </c>
      <c r="BB791" s="191"/>
      <c r="BC791" s="190"/>
      <c r="BD791" s="190"/>
      <c r="BE791" s="165">
        <v>2901.6380899999999</v>
      </c>
      <c r="BF791" s="165">
        <v>6495.03226</v>
      </c>
      <c r="BG791" s="165">
        <v>507.75423000000001</v>
      </c>
      <c r="BH791" s="165"/>
      <c r="BI791" s="165"/>
      <c r="BJ791" s="191"/>
      <c r="BK791" s="190"/>
      <c r="BL791" s="190"/>
      <c r="BM791" s="163"/>
      <c r="BN791" s="190"/>
      <c r="BO791" s="190"/>
      <c r="BP791" s="190"/>
      <c r="BQ791" s="193"/>
    </row>
    <row r="792" spans="1:270" ht="39.950000000000003" customHeight="1" outlineLevel="1" x14ac:dyDescent="0.3">
      <c r="A792" s="15" t="s">
        <v>978</v>
      </c>
      <c r="B792" s="12" t="s">
        <v>987</v>
      </c>
      <c r="C792" s="9" t="s">
        <v>6</v>
      </c>
      <c r="D792" s="66" t="s">
        <v>988</v>
      </c>
      <c r="E792" s="158">
        <f t="shared" si="166"/>
        <v>47486.862439999997</v>
      </c>
      <c r="F792" s="159">
        <f t="shared" si="167"/>
        <v>9445.9007700000002</v>
      </c>
      <c r="G792" s="160">
        <f t="shared" si="168"/>
        <v>38040.961669999997</v>
      </c>
      <c r="H792" s="166"/>
      <c r="I792" s="165"/>
      <c r="J792" s="160">
        <v>697.2</v>
      </c>
      <c r="K792" s="160"/>
      <c r="L792" s="166">
        <v>4618.7481699999998</v>
      </c>
      <c r="M792" s="165">
        <v>7239.0406000000003</v>
      </c>
      <c r="N792" s="165"/>
      <c r="O792" s="165"/>
      <c r="P792" s="160"/>
      <c r="Q792" s="166"/>
      <c r="R792" s="165"/>
      <c r="S792" s="165"/>
      <c r="T792" s="159"/>
      <c r="U792" s="160"/>
      <c r="V792" s="165"/>
      <c r="W792" s="165"/>
      <c r="X792" s="160"/>
      <c r="Y792" s="166">
        <v>4587.4651199999998</v>
      </c>
      <c r="Z792" s="160">
        <v>1529.1550400000001</v>
      </c>
      <c r="AA792" s="160">
        <v>19376.111010000001</v>
      </c>
      <c r="AB792" s="165"/>
      <c r="AC792" s="165"/>
      <c r="AD792" s="165"/>
      <c r="AE792" s="165"/>
      <c r="AF792" s="160"/>
      <c r="AG792" s="160"/>
      <c r="AH792" s="160"/>
      <c r="AI792" s="160"/>
      <c r="AJ792" s="161"/>
      <c r="AK792" s="162"/>
      <c r="AL792" s="190"/>
      <c r="AM792" s="191"/>
      <c r="AN792" s="190"/>
      <c r="AO792" s="160"/>
      <c r="AP792" s="162"/>
      <c r="AQ792" s="161"/>
      <c r="AR792" s="162"/>
      <c r="AS792" s="161"/>
      <c r="AT792" s="165"/>
      <c r="AU792" s="166"/>
      <c r="AV792" s="165"/>
      <c r="AW792" s="166">
        <v>239.68747999999999</v>
      </c>
      <c r="AX792" s="165">
        <f>24.28003+71.59496</f>
        <v>95.874989999999997</v>
      </c>
      <c r="AY792" s="160">
        <v>1418.57249</v>
      </c>
      <c r="AZ792" s="165"/>
      <c r="BA792" s="165">
        <v>782.32506999999998</v>
      </c>
      <c r="BB792" s="166"/>
      <c r="BC792" s="165"/>
      <c r="BD792" s="165"/>
      <c r="BE792" s="165"/>
      <c r="BF792" s="165"/>
      <c r="BG792" s="165">
        <v>398.54437999999999</v>
      </c>
      <c r="BH792" s="165">
        <v>6000</v>
      </c>
      <c r="BI792" s="165"/>
      <c r="BJ792" s="166"/>
      <c r="BK792" s="165"/>
      <c r="BL792" s="165"/>
      <c r="BM792" s="163"/>
      <c r="BN792" s="165"/>
      <c r="BO792" s="165">
        <v>504.13808999999998</v>
      </c>
      <c r="BP792" s="165"/>
      <c r="BQ792" s="167"/>
    </row>
    <row r="793" spans="1:270" ht="39.950000000000003" customHeight="1" outlineLevel="1" x14ac:dyDescent="0.3">
      <c r="A793" s="15" t="s">
        <v>978</v>
      </c>
      <c r="B793" s="12" t="s">
        <v>1515</v>
      </c>
      <c r="C793" s="9" t="s">
        <v>87</v>
      </c>
      <c r="D793" s="66">
        <v>2439007020</v>
      </c>
      <c r="E793" s="158">
        <f t="shared" si="166"/>
        <v>357.86250000000001</v>
      </c>
      <c r="F793" s="159">
        <f t="shared" si="167"/>
        <v>0</v>
      </c>
      <c r="G793" s="160">
        <f t="shared" si="168"/>
        <v>357.86250000000001</v>
      </c>
      <c r="H793" s="166"/>
      <c r="I793" s="165"/>
      <c r="J793" s="160"/>
      <c r="K793" s="160"/>
      <c r="L793" s="166"/>
      <c r="M793" s="165"/>
      <c r="N793" s="165"/>
      <c r="O793" s="165"/>
      <c r="P793" s="160"/>
      <c r="Q793" s="166"/>
      <c r="R793" s="165"/>
      <c r="S793" s="165"/>
      <c r="T793" s="159"/>
      <c r="U793" s="160"/>
      <c r="V793" s="165"/>
      <c r="W793" s="165"/>
      <c r="X793" s="160"/>
      <c r="Y793" s="166"/>
      <c r="Z793" s="160"/>
      <c r="AA793" s="160"/>
      <c r="AB793" s="165"/>
      <c r="AC793" s="165"/>
      <c r="AD793" s="165"/>
      <c r="AE793" s="165"/>
      <c r="AF793" s="160"/>
      <c r="AG793" s="160"/>
      <c r="AH793" s="160"/>
      <c r="AI793" s="160"/>
      <c r="AJ793" s="161"/>
      <c r="AK793" s="162"/>
      <c r="AL793" s="190"/>
      <c r="AM793" s="191"/>
      <c r="AN793" s="190"/>
      <c r="AO793" s="160"/>
      <c r="AP793" s="162"/>
      <c r="AQ793" s="161"/>
      <c r="AR793" s="162"/>
      <c r="AS793" s="161"/>
      <c r="AT793" s="165"/>
      <c r="AU793" s="166"/>
      <c r="AV793" s="165"/>
      <c r="AW793" s="166"/>
      <c r="AX793" s="165"/>
      <c r="AY793" s="160"/>
      <c r="AZ793" s="165"/>
      <c r="BA793" s="165"/>
      <c r="BB793" s="166"/>
      <c r="BC793" s="165"/>
      <c r="BD793" s="165"/>
      <c r="BE793" s="165"/>
      <c r="BF793" s="165"/>
      <c r="BG793" s="165"/>
      <c r="BH793" s="165"/>
      <c r="BI793" s="165">
        <v>357.86250000000001</v>
      </c>
      <c r="BJ793" s="166"/>
      <c r="BK793" s="165"/>
      <c r="BL793" s="165"/>
      <c r="BM793" s="163"/>
      <c r="BN793" s="165"/>
      <c r="BO793" s="165"/>
      <c r="BP793" s="165"/>
      <c r="BQ793" s="167"/>
    </row>
    <row r="794" spans="1:270" s="34" customFormat="1" ht="39.950000000000003" customHeight="1" x14ac:dyDescent="0.3">
      <c r="A794" s="118" t="s">
        <v>1013</v>
      </c>
      <c r="B794" s="120"/>
      <c r="C794" s="116" t="s">
        <v>80</v>
      </c>
      <c r="D794" s="117"/>
      <c r="E794" s="173">
        <f t="shared" ref="E794:AI794" si="169">SUBTOTAL(9,E766:E793)</f>
        <v>439055.92003000004</v>
      </c>
      <c r="F794" s="173">
        <f t="shared" si="169"/>
        <v>114084.58246000001</v>
      </c>
      <c r="G794" s="173">
        <f t="shared" si="169"/>
        <v>324971.33756999997</v>
      </c>
      <c r="H794" s="173">
        <f t="shared" si="169"/>
        <v>28287.11622</v>
      </c>
      <c r="I794" s="173">
        <f t="shared" si="169"/>
        <v>9429.0387499999997</v>
      </c>
      <c r="J794" s="173">
        <f t="shared" si="169"/>
        <v>2128.9380000000001</v>
      </c>
      <c r="K794" s="173">
        <f t="shared" si="169"/>
        <v>0</v>
      </c>
      <c r="L794" s="173">
        <f t="shared" si="169"/>
        <v>33669.545589999994</v>
      </c>
      <c r="M794" s="173">
        <f t="shared" si="169"/>
        <v>52770.837120000004</v>
      </c>
      <c r="N794" s="173">
        <f t="shared" si="169"/>
        <v>0</v>
      </c>
      <c r="O794" s="173">
        <f>SUBTOTAL(9,O766:O793)</f>
        <v>0</v>
      </c>
      <c r="P794" s="173">
        <f>SUBTOTAL(9,P766:P793)</f>
        <v>0</v>
      </c>
      <c r="Q794" s="173">
        <f t="shared" si="169"/>
        <v>26447.722289999998</v>
      </c>
      <c r="R794" s="173">
        <f t="shared" si="169"/>
        <v>8815.9074299999993</v>
      </c>
      <c r="S794" s="173">
        <f t="shared" si="169"/>
        <v>740.66250000000002</v>
      </c>
      <c r="T794" s="173">
        <f>SUBTOTAL(9,T766:T793)</f>
        <v>0</v>
      </c>
      <c r="U794" s="173">
        <f>SUBTOTAL(9,U766:U793)</f>
        <v>0</v>
      </c>
      <c r="V794" s="173">
        <f t="shared" si="169"/>
        <v>0</v>
      </c>
      <c r="W794" s="173">
        <f t="shared" si="169"/>
        <v>9276.7999999999993</v>
      </c>
      <c r="X794" s="173">
        <f>SUBTOTAL(9,X766:X793)</f>
        <v>0</v>
      </c>
      <c r="Y794" s="173">
        <f t="shared" si="169"/>
        <v>24751.498800000001</v>
      </c>
      <c r="Z794" s="173">
        <f t="shared" si="169"/>
        <v>8250.4995999999992</v>
      </c>
      <c r="AA794" s="173">
        <f t="shared" si="169"/>
        <v>109941.76913999999</v>
      </c>
      <c r="AB794" s="173">
        <f t="shared" si="169"/>
        <v>0</v>
      </c>
      <c r="AC794" s="173">
        <f t="shared" si="169"/>
        <v>0</v>
      </c>
      <c r="AD794" s="173">
        <f>SUBTOTAL(9,AD766:AD793)</f>
        <v>0</v>
      </c>
      <c r="AE794" s="173">
        <f t="shared" si="169"/>
        <v>0</v>
      </c>
      <c r="AF794" s="173">
        <f t="shared" si="169"/>
        <v>19369.29348</v>
      </c>
      <c r="AG794" s="173">
        <f t="shared" si="169"/>
        <v>0</v>
      </c>
      <c r="AH794" s="173">
        <f t="shared" si="169"/>
        <v>0</v>
      </c>
      <c r="AI794" s="173">
        <f t="shared" si="169"/>
        <v>39459.114699999998</v>
      </c>
      <c r="AJ794" s="173">
        <f t="shared" ref="AJ794:BQ794" si="170">SUBTOTAL(9,AJ766:AJ793)</f>
        <v>3000</v>
      </c>
      <c r="AK794" s="173">
        <f t="shared" si="170"/>
        <v>0</v>
      </c>
      <c r="AL794" s="173">
        <f t="shared" si="170"/>
        <v>0</v>
      </c>
      <c r="AM794" s="173">
        <f>SUBTOTAL(9,AM766:AM793)</f>
        <v>0</v>
      </c>
      <c r="AN794" s="173">
        <f>SUBTOTAL(9,AN766:AN793)</f>
        <v>0</v>
      </c>
      <c r="AO794" s="173">
        <f>SUBTOTAL(9,AO766:AO793)</f>
        <v>0</v>
      </c>
      <c r="AP794" s="173">
        <f t="shared" si="170"/>
        <v>0</v>
      </c>
      <c r="AQ794" s="173">
        <f t="shared" si="170"/>
        <v>0</v>
      </c>
      <c r="AR794" s="173">
        <f t="shared" si="170"/>
        <v>0</v>
      </c>
      <c r="AS794" s="173">
        <f t="shared" si="170"/>
        <v>0</v>
      </c>
      <c r="AT794" s="173">
        <f>SUBTOTAL(9,AT766:AT793)</f>
        <v>0</v>
      </c>
      <c r="AU794" s="173">
        <f t="shared" si="170"/>
        <v>0</v>
      </c>
      <c r="AV794" s="173">
        <f t="shared" si="170"/>
        <v>0</v>
      </c>
      <c r="AW794" s="173">
        <f t="shared" si="170"/>
        <v>928.69956000000002</v>
      </c>
      <c r="AX794" s="173">
        <f t="shared" si="170"/>
        <v>339.64324999999997</v>
      </c>
      <c r="AY794" s="173">
        <f t="shared" si="170"/>
        <v>5358.2895800000006</v>
      </c>
      <c r="AZ794" s="173">
        <f t="shared" si="170"/>
        <v>0</v>
      </c>
      <c r="BA794" s="173">
        <f t="shared" si="170"/>
        <v>7004.6650300000001</v>
      </c>
      <c r="BB794" s="173">
        <f t="shared" si="170"/>
        <v>0</v>
      </c>
      <c r="BC794" s="173">
        <f t="shared" si="170"/>
        <v>0</v>
      </c>
      <c r="BD794" s="173">
        <f t="shared" si="170"/>
        <v>0</v>
      </c>
      <c r="BE794" s="173">
        <f t="shared" si="170"/>
        <v>6260.8309499999996</v>
      </c>
      <c r="BF794" s="173">
        <f t="shared" si="170"/>
        <v>7997.9025999999994</v>
      </c>
      <c r="BG794" s="173">
        <f t="shared" si="170"/>
        <v>4505.9569500000007</v>
      </c>
      <c r="BH794" s="173">
        <f t="shared" si="170"/>
        <v>17533.75</v>
      </c>
      <c r="BI794" s="173">
        <f t="shared" si="170"/>
        <v>357.86250000000001</v>
      </c>
      <c r="BJ794" s="173">
        <f t="shared" si="170"/>
        <v>0</v>
      </c>
      <c r="BK794" s="173">
        <f t="shared" si="170"/>
        <v>0</v>
      </c>
      <c r="BL794" s="173">
        <f t="shared" si="170"/>
        <v>0</v>
      </c>
      <c r="BM794" s="174">
        <f>SUBTOTAL(9,BM766:BM793)</f>
        <v>5457.1679999999997</v>
      </c>
      <c r="BN794" s="173">
        <f t="shared" si="170"/>
        <v>17.38</v>
      </c>
      <c r="BO794" s="173">
        <f t="shared" si="170"/>
        <v>6955.0279900000005</v>
      </c>
      <c r="BP794" s="173">
        <f t="shared" si="170"/>
        <v>0</v>
      </c>
      <c r="BQ794" s="174">
        <f t="shared" si="170"/>
        <v>0</v>
      </c>
      <c r="BR794" s="40"/>
      <c r="BS794" s="40"/>
      <c r="BT794" s="40"/>
      <c r="BU794" s="40"/>
      <c r="BV794" s="40"/>
      <c r="BW794" s="40"/>
      <c r="BX794" s="40"/>
      <c r="BY794" s="40"/>
      <c r="BZ794" s="40"/>
      <c r="CA794" s="40"/>
      <c r="CB794" s="40"/>
      <c r="CC794" s="40"/>
      <c r="CD794" s="40"/>
      <c r="CE794" s="40"/>
      <c r="CF794" s="40"/>
      <c r="CG794" s="40"/>
      <c r="CH794" s="40"/>
      <c r="CI794" s="40"/>
      <c r="CJ794" s="40"/>
      <c r="CK794" s="40"/>
      <c r="CL794" s="40"/>
      <c r="CM794" s="40"/>
      <c r="CN794" s="40"/>
      <c r="CO794" s="40"/>
      <c r="CP794" s="40"/>
      <c r="CQ794" s="40"/>
      <c r="CR794" s="40"/>
      <c r="CS794" s="40"/>
      <c r="CT794" s="40"/>
      <c r="CU794" s="40"/>
      <c r="CV794" s="40"/>
      <c r="CW794" s="40"/>
      <c r="CX794" s="40"/>
      <c r="CY794" s="40"/>
      <c r="CZ794" s="40"/>
      <c r="DA794" s="40"/>
      <c r="DB794" s="40"/>
      <c r="DC794" s="40"/>
      <c r="DD794" s="40"/>
      <c r="DE794" s="40"/>
      <c r="DF794" s="40"/>
      <c r="DG794" s="40"/>
      <c r="DH794" s="40"/>
      <c r="DI794" s="40"/>
      <c r="DJ794" s="40"/>
      <c r="DK794" s="40"/>
      <c r="DL794" s="40"/>
      <c r="DM794" s="40"/>
      <c r="DN794" s="40"/>
      <c r="DO794" s="40"/>
      <c r="DP794" s="40"/>
      <c r="DQ794" s="40"/>
      <c r="DR794" s="40"/>
      <c r="DS794" s="40"/>
      <c r="DT794" s="40"/>
      <c r="DU794" s="40"/>
      <c r="DV794" s="40"/>
      <c r="DW794" s="40"/>
      <c r="DX794" s="40"/>
      <c r="DY794" s="40"/>
      <c r="DZ794" s="40"/>
      <c r="EA794" s="40"/>
      <c r="EB794" s="40"/>
      <c r="EC794" s="40"/>
      <c r="ED794" s="40"/>
      <c r="EE794" s="40"/>
      <c r="EF794" s="40"/>
      <c r="EG794" s="40"/>
      <c r="EH794" s="40"/>
      <c r="EI794" s="40"/>
      <c r="EJ794" s="40"/>
      <c r="EK794" s="40"/>
      <c r="EL794" s="40"/>
      <c r="EM794" s="40"/>
      <c r="EN794" s="40"/>
      <c r="EO794" s="40"/>
      <c r="EP794" s="40"/>
      <c r="EQ794" s="40"/>
      <c r="ER794" s="40"/>
      <c r="ES794" s="40"/>
      <c r="ET794" s="40"/>
      <c r="EU794" s="40"/>
      <c r="EV794" s="40"/>
      <c r="EW794" s="40"/>
      <c r="EX794" s="40"/>
      <c r="EY794" s="40"/>
      <c r="EZ794" s="40"/>
      <c r="FA794" s="40"/>
      <c r="FB794" s="40"/>
      <c r="FC794" s="40"/>
      <c r="FD794" s="40"/>
      <c r="FE794" s="40"/>
      <c r="FF794" s="40"/>
      <c r="FG794" s="40"/>
      <c r="FH794" s="40"/>
      <c r="FI794" s="40"/>
      <c r="FJ794" s="40"/>
      <c r="FK794" s="40"/>
      <c r="FL794" s="40"/>
      <c r="FM794" s="40"/>
      <c r="FN794" s="40"/>
      <c r="FO794" s="40"/>
      <c r="FP794" s="40"/>
      <c r="FQ794" s="40"/>
      <c r="FR794" s="40"/>
      <c r="FS794" s="40"/>
      <c r="FT794" s="40"/>
      <c r="FU794" s="40"/>
      <c r="FV794" s="40"/>
      <c r="FW794" s="40"/>
      <c r="FX794" s="40"/>
      <c r="FY794" s="40"/>
      <c r="FZ794" s="40"/>
      <c r="GA794" s="40"/>
      <c r="GB794" s="40"/>
      <c r="GC794" s="40"/>
      <c r="GD794" s="40"/>
      <c r="GE794" s="40"/>
      <c r="GF794" s="40"/>
      <c r="GG794" s="40"/>
      <c r="GH794" s="40"/>
      <c r="GI794" s="40"/>
      <c r="GJ794" s="40"/>
      <c r="GK794" s="40"/>
      <c r="GL794" s="40"/>
      <c r="GM794" s="40"/>
      <c r="GN794" s="40"/>
      <c r="GO794" s="40"/>
      <c r="GP794" s="40"/>
      <c r="GQ794" s="40"/>
      <c r="GR794" s="40"/>
      <c r="GS794" s="40"/>
      <c r="GT794" s="40"/>
      <c r="GU794" s="40"/>
      <c r="GV794" s="40"/>
      <c r="GW794" s="40"/>
      <c r="GX794" s="40"/>
      <c r="GY794" s="40"/>
      <c r="GZ794" s="40"/>
      <c r="HA794" s="40"/>
      <c r="HB794" s="40"/>
      <c r="HC794" s="40"/>
      <c r="HD794" s="40"/>
      <c r="HE794" s="40"/>
      <c r="HF794" s="40"/>
      <c r="HG794" s="40"/>
      <c r="HH794" s="40"/>
      <c r="HI794" s="40"/>
      <c r="HJ794" s="40"/>
      <c r="HK794" s="40"/>
      <c r="HL794" s="40"/>
      <c r="HM794" s="40"/>
      <c r="HN794" s="40"/>
      <c r="HO794" s="40"/>
      <c r="HP794" s="40"/>
      <c r="HQ794" s="40"/>
      <c r="HR794" s="40"/>
      <c r="HS794" s="40"/>
      <c r="HT794" s="40"/>
      <c r="HU794" s="40"/>
      <c r="HV794" s="40"/>
      <c r="HW794" s="40"/>
      <c r="HX794" s="40"/>
      <c r="HY794" s="40"/>
      <c r="HZ794" s="40"/>
      <c r="IA794" s="40"/>
      <c r="IB794" s="40"/>
      <c r="IC794" s="40"/>
      <c r="ID794" s="40"/>
      <c r="IE794" s="40"/>
      <c r="IF794" s="40"/>
      <c r="IG794" s="40"/>
      <c r="IH794" s="40"/>
      <c r="II794" s="40"/>
      <c r="IJ794" s="40"/>
      <c r="IK794" s="40"/>
      <c r="IL794" s="40"/>
      <c r="IM794" s="40"/>
      <c r="IN794" s="40"/>
      <c r="IO794" s="40"/>
      <c r="IP794" s="40"/>
      <c r="IQ794" s="40"/>
      <c r="IR794" s="40"/>
      <c r="IS794" s="40"/>
      <c r="IT794" s="40"/>
      <c r="IU794" s="40"/>
      <c r="IV794" s="40"/>
      <c r="IW794" s="40"/>
      <c r="IX794" s="40"/>
      <c r="IY794" s="40"/>
      <c r="IZ794" s="40"/>
      <c r="JA794" s="40"/>
      <c r="JB794" s="40"/>
      <c r="JC794" s="40"/>
      <c r="JD794" s="40"/>
      <c r="JE794" s="40"/>
      <c r="JF794" s="40"/>
      <c r="JG794" s="40"/>
      <c r="JH794" s="40"/>
      <c r="JI794" s="40"/>
      <c r="JJ794" s="40"/>
    </row>
    <row r="795" spans="1:270" ht="39.950000000000003" customHeight="1" outlineLevel="1" x14ac:dyDescent="0.3">
      <c r="A795" s="12" t="s">
        <v>1014</v>
      </c>
      <c r="B795" s="10" t="s">
        <v>1567</v>
      </c>
      <c r="C795" s="9" t="s">
        <v>30</v>
      </c>
      <c r="D795" s="66" t="s">
        <v>1046</v>
      </c>
      <c r="E795" s="158">
        <f t="shared" ref="E795:E821" si="171">F795+G795</f>
        <v>1364.02836</v>
      </c>
      <c r="F795" s="159">
        <f t="shared" ref="F795:F821" si="172">H795+L795+Q795+Y795+T795+AK795+AP795+AM795+AR795+AU795+AW795+BB795+BJ795</f>
        <v>79.636510000000001</v>
      </c>
      <c r="G795" s="160">
        <f t="shared" ref="G795:G821" si="173">I795+J795+K795+M795+N795+R795+S795+V795+W795+AD795+O795+X795+Z795+AA795+AB795+AC795+AE795+AF795+P795+U795+AG795+AH795+AI795+AO795+AJ795+AL795+AQ795+AN795+AS795+AV795+AX795+AY795+AZ795+BA795+BC795+BD795+BE795+BF795+BG795+BH795+BI795+AT795+BK795+BL795+BN795+BO795+BP795+BQ795+BM795</f>
        <v>1284.39185</v>
      </c>
      <c r="H795" s="166"/>
      <c r="I795" s="165"/>
      <c r="J795" s="160"/>
      <c r="K795" s="160"/>
      <c r="L795" s="166">
        <v>79.636510000000001</v>
      </c>
      <c r="M795" s="165">
        <v>124.81563</v>
      </c>
      <c r="N795" s="165"/>
      <c r="O795" s="165"/>
      <c r="P795" s="160"/>
      <c r="Q795" s="166"/>
      <c r="R795" s="165"/>
      <c r="S795" s="165"/>
      <c r="T795" s="159"/>
      <c r="U795" s="160"/>
      <c r="V795" s="165"/>
      <c r="W795" s="165"/>
      <c r="X795" s="160"/>
      <c r="Y795" s="166"/>
      <c r="Z795" s="160"/>
      <c r="AA795" s="160"/>
      <c r="AB795" s="165"/>
      <c r="AC795" s="165"/>
      <c r="AD795" s="165"/>
      <c r="AE795" s="165"/>
      <c r="AF795" s="160"/>
      <c r="AG795" s="160"/>
      <c r="AH795" s="160"/>
      <c r="AI795" s="160"/>
      <c r="AJ795" s="161"/>
      <c r="AK795" s="162"/>
      <c r="AL795" s="165"/>
      <c r="AM795" s="166"/>
      <c r="AN795" s="165"/>
      <c r="AO795" s="160"/>
      <c r="AP795" s="162"/>
      <c r="AQ795" s="161"/>
      <c r="AR795" s="162"/>
      <c r="AS795" s="161"/>
      <c r="AT795" s="165"/>
      <c r="AU795" s="166"/>
      <c r="AV795" s="165"/>
      <c r="AW795" s="166"/>
      <c r="AX795" s="165"/>
      <c r="AY795" s="165"/>
      <c r="AZ795" s="165"/>
      <c r="BA795" s="165"/>
      <c r="BB795" s="166"/>
      <c r="BC795" s="165"/>
      <c r="BD795" s="165"/>
      <c r="BE795" s="165">
        <v>288.55187000000001</v>
      </c>
      <c r="BF795" s="165"/>
      <c r="BG795" s="165">
        <v>44.924349999999997</v>
      </c>
      <c r="BH795" s="165">
        <v>826.1</v>
      </c>
      <c r="BI795" s="165"/>
      <c r="BJ795" s="166"/>
      <c r="BK795" s="165"/>
      <c r="BL795" s="165"/>
      <c r="BM795" s="163"/>
      <c r="BN795" s="165"/>
      <c r="BO795" s="165"/>
      <c r="BP795" s="165"/>
      <c r="BQ795" s="167"/>
    </row>
    <row r="796" spans="1:270" ht="39.950000000000003" customHeight="1" outlineLevel="1" x14ac:dyDescent="0.3">
      <c r="A796" s="12" t="s">
        <v>1014</v>
      </c>
      <c r="B796" s="12" t="s">
        <v>1109</v>
      </c>
      <c r="C796" s="35" t="s">
        <v>30</v>
      </c>
      <c r="D796" s="9" t="s">
        <v>1255</v>
      </c>
      <c r="E796" s="158">
        <f t="shared" si="171"/>
        <v>844.95074</v>
      </c>
      <c r="F796" s="159">
        <f t="shared" si="172"/>
        <v>543.22266999999999</v>
      </c>
      <c r="G796" s="160">
        <f t="shared" si="173"/>
        <v>301.72807</v>
      </c>
      <c r="H796" s="166">
        <v>445.44675000000001</v>
      </c>
      <c r="I796" s="165">
        <v>148.48224999999999</v>
      </c>
      <c r="J796" s="160"/>
      <c r="K796" s="160"/>
      <c r="L796" s="166">
        <v>97.775919999999999</v>
      </c>
      <c r="M796" s="165">
        <v>153.24582000000001</v>
      </c>
      <c r="N796" s="165"/>
      <c r="O796" s="165"/>
      <c r="P796" s="160"/>
      <c r="Q796" s="166"/>
      <c r="R796" s="165"/>
      <c r="S796" s="165"/>
      <c r="T796" s="159"/>
      <c r="U796" s="160"/>
      <c r="V796" s="165"/>
      <c r="W796" s="165"/>
      <c r="X796" s="160"/>
      <c r="Y796" s="166"/>
      <c r="Z796" s="160"/>
      <c r="AA796" s="160"/>
      <c r="AB796" s="165"/>
      <c r="AC796" s="165"/>
      <c r="AD796" s="165"/>
      <c r="AE796" s="165"/>
      <c r="AF796" s="160"/>
      <c r="AG796" s="160"/>
      <c r="AH796" s="160"/>
      <c r="AI796" s="160"/>
      <c r="AJ796" s="161"/>
      <c r="AK796" s="162"/>
      <c r="AL796" s="165"/>
      <c r="AM796" s="166"/>
      <c r="AN796" s="165"/>
      <c r="AO796" s="160"/>
      <c r="AP796" s="162"/>
      <c r="AQ796" s="161"/>
      <c r="AR796" s="162"/>
      <c r="AS796" s="161"/>
      <c r="AT796" s="165"/>
      <c r="AU796" s="166"/>
      <c r="AV796" s="165"/>
      <c r="AW796" s="166"/>
      <c r="AX796" s="165"/>
      <c r="AY796" s="165"/>
      <c r="AZ796" s="165"/>
      <c r="BA796" s="165"/>
      <c r="BB796" s="166"/>
      <c r="BC796" s="165"/>
      <c r="BD796" s="165"/>
      <c r="BE796" s="165"/>
      <c r="BF796" s="165"/>
      <c r="BG796" s="165"/>
      <c r="BH796" s="165"/>
      <c r="BI796" s="165"/>
      <c r="BJ796" s="166"/>
      <c r="BK796" s="165"/>
      <c r="BL796" s="165"/>
      <c r="BM796" s="163"/>
      <c r="BN796" s="165"/>
      <c r="BO796" s="165"/>
      <c r="BP796" s="165"/>
      <c r="BQ796" s="167"/>
    </row>
    <row r="797" spans="1:270" ht="39.950000000000003" customHeight="1" outlineLevel="1" x14ac:dyDescent="0.3">
      <c r="A797" s="17" t="s">
        <v>1014</v>
      </c>
      <c r="B797" s="10" t="s">
        <v>1047</v>
      </c>
      <c r="C797" s="21" t="s">
        <v>30</v>
      </c>
      <c r="D797" s="21" t="s">
        <v>1257</v>
      </c>
      <c r="E797" s="158">
        <f t="shared" si="171"/>
        <v>3423.5214299999998</v>
      </c>
      <c r="F797" s="159">
        <f t="shared" si="172"/>
        <v>126.06697</v>
      </c>
      <c r="G797" s="160">
        <f t="shared" si="173"/>
        <v>3297.4544599999999</v>
      </c>
      <c r="H797" s="166"/>
      <c r="I797" s="165"/>
      <c r="J797" s="160"/>
      <c r="K797" s="160"/>
      <c r="L797" s="166">
        <v>126.06697</v>
      </c>
      <c r="M797" s="165">
        <v>197.58686</v>
      </c>
      <c r="N797" s="165"/>
      <c r="O797" s="165"/>
      <c r="P797" s="160"/>
      <c r="Q797" s="166"/>
      <c r="R797" s="165"/>
      <c r="S797" s="165"/>
      <c r="T797" s="159"/>
      <c r="U797" s="160"/>
      <c r="V797" s="165"/>
      <c r="W797" s="165"/>
      <c r="X797" s="160"/>
      <c r="Y797" s="166"/>
      <c r="Z797" s="160"/>
      <c r="AA797" s="160"/>
      <c r="AB797" s="165"/>
      <c r="AC797" s="165"/>
      <c r="AD797" s="165"/>
      <c r="AE797" s="165"/>
      <c r="AF797" s="160"/>
      <c r="AG797" s="160"/>
      <c r="AH797" s="160"/>
      <c r="AI797" s="160"/>
      <c r="AJ797" s="161"/>
      <c r="AK797" s="162"/>
      <c r="AL797" s="165"/>
      <c r="AM797" s="166"/>
      <c r="AN797" s="165"/>
      <c r="AO797" s="160"/>
      <c r="AP797" s="162"/>
      <c r="AQ797" s="161"/>
      <c r="AR797" s="162"/>
      <c r="AS797" s="161"/>
      <c r="AT797" s="165"/>
      <c r="AU797" s="166"/>
      <c r="AV797" s="165"/>
      <c r="AW797" s="166"/>
      <c r="AX797" s="165"/>
      <c r="AY797" s="165"/>
      <c r="AZ797" s="165"/>
      <c r="BA797" s="165"/>
      <c r="BB797" s="166"/>
      <c r="BC797" s="165"/>
      <c r="BD797" s="165"/>
      <c r="BE797" s="165"/>
      <c r="BF797" s="165"/>
      <c r="BG797" s="165"/>
      <c r="BH797" s="165">
        <v>3000</v>
      </c>
      <c r="BI797" s="165"/>
      <c r="BJ797" s="166"/>
      <c r="BK797" s="165"/>
      <c r="BL797" s="165"/>
      <c r="BM797" s="163"/>
      <c r="BN797" s="165"/>
      <c r="BO797" s="165">
        <v>99.867599999999996</v>
      </c>
      <c r="BP797" s="165"/>
      <c r="BQ797" s="167"/>
    </row>
    <row r="798" spans="1:270" ht="39.950000000000003" customHeight="1" outlineLevel="1" x14ac:dyDescent="0.3">
      <c r="A798" s="12" t="s">
        <v>1014</v>
      </c>
      <c r="B798" s="10" t="s">
        <v>1048</v>
      </c>
      <c r="C798" s="21" t="s">
        <v>30</v>
      </c>
      <c r="D798" s="21" t="s">
        <v>1258</v>
      </c>
      <c r="E798" s="158">
        <f t="shared" si="171"/>
        <v>811.62669000000005</v>
      </c>
      <c r="F798" s="159">
        <f t="shared" si="172"/>
        <v>353.98941000000002</v>
      </c>
      <c r="G798" s="160">
        <f t="shared" si="173"/>
        <v>457.63727999999998</v>
      </c>
      <c r="H798" s="166">
        <v>78.75</v>
      </c>
      <c r="I798" s="165">
        <v>26.25</v>
      </c>
      <c r="J798" s="160"/>
      <c r="K798" s="160"/>
      <c r="L798" s="166">
        <v>275.23941000000002</v>
      </c>
      <c r="M798" s="165">
        <v>431.38727999999998</v>
      </c>
      <c r="N798" s="165"/>
      <c r="O798" s="165"/>
      <c r="P798" s="160"/>
      <c r="Q798" s="166"/>
      <c r="R798" s="165"/>
      <c r="S798" s="165"/>
      <c r="T798" s="159"/>
      <c r="U798" s="160"/>
      <c r="V798" s="165"/>
      <c r="W798" s="165"/>
      <c r="X798" s="160"/>
      <c r="Y798" s="166"/>
      <c r="Z798" s="160"/>
      <c r="AA798" s="160"/>
      <c r="AB798" s="165"/>
      <c r="AC798" s="165"/>
      <c r="AD798" s="165"/>
      <c r="AE798" s="165"/>
      <c r="AF798" s="160"/>
      <c r="AG798" s="160"/>
      <c r="AH798" s="160"/>
      <c r="AI798" s="160"/>
      <c r="AJ798" s="161"/>
      <c r="AK798" s="162"/>
      <c r="AL798" s="165"/>
      <c r="AM798" s="166"/>
      <c r="AN798" s="165"/>
      <c r="AO798" s="160"/>
      <c r="AP798" s="162"/>
      <c r="AQ798" s="161"/>
      <c r="AR798" s="162"/>
      <c r="AS798" s="161"/>
      <c r="AT798" s="165"/>
      <c r="AU798" s="166"/>
      <c r="AV798" s="165"/>
      <c r="AW798" s="166"/>
      <c r="AX798" s="165"/>
      <c r="AY798" s="165"/>
      <c r="AZ798" s="165"/>
      <c r="BA798" s="165"/>
      <c r="BB798" s="166"/>
      <c r="BC798" s="165"/>
      <c r="BD798" s="165"/>
      <c r="BE798" s="165"/>
      <c r="BF798" s="165"/>
      <c r="BG798" s="165"/>
      <c r="BH798" s="165"/>
      <c r="BI798" s="165"/>
      <c r="BJ798" s="166"/>
      <c r="BK798" s="165"/>
      <c r="BL798" s="165"/>
      <c r="BM798" s="163"/>
      <c r="BN798" s="165"/>
      <c r="BO798" s="165"/>
      <c r="BP798" s="165"/>
      <c r="BQ798" s="167"/>
    </row>
    <row r="799" spans="1:270" ht="39.950000000000003" customHeight="1" outlineLevel="1" x14ac:dyDescent="0.3">
      <c r="A799" s="12" t="s">
        <v>1014</v>
      </c>
      <c r="B799" s="10" t="s">
        <v>1143</v>
      </c>
      <c r="C799" s="21" t="s">
        <v>30</v>
      </c>
      <c r="D799" s="21" t="s">
        <v>1262</v>
      </c>
      <c r="E799" s="158">
        <f t="shared" si="171"/>
        <v>326.14273000000003</v>
      </c>
      <c r="F799" s="159">
        <f t="shared" si="172"/>
        <v>217.10708</v>
      </c>
      <c r="G799" s="160">
        <f t="shared" si="173"/>
        <v>109.03565</v>
      </c>
      <c r="H799" s="166">
        <v>187.39304999999999</v>
      </c>
      <c r="I799" s="165">
        <v>62.464359999999999</v>
      </c>
      <c r="J799" s="160"/>
      <c r="K799" s="160"/>
      <c r="L799" s="166">
        <v>29.714030000000001</v>
      </c>
      <c r="M799" s="165">
        <v>46.571289999999998</v>
      </c>
      <c r="N799" s="165"/>
      <c r="O799" s="165"/>
      <c r="P799" s="160"/>
      <c r="Q799" s="166"/>
      <c r="R799" s="165"/>
      <c r="S799" s="165"/>
      <c r="T799" s="159"/>
      <c r="U799" s="160"/>
      <c r="V799" s="165"/>
      <c r="W799" s="165"/>
      <c r="X799" s="160"/>
      <c r="Y799" s="166"/>
      <c r="Z799" s="160"/>
      <c r="AA799" s="160"/>
      <c r="AB799" s="165"/>
      <c r="AC799" s="165"/>
      <c r="AD799" s="165"/>
      <c r="AE799" s="165"/>
      <c r="AF799" s="160"/>
      <c r="AG799" s="160"/>
      <c r="AH799" s="160"/>
      <c r="AI799" s="160"/>
      <c r="AJ799" s="161"/>
      <c r="AK799" s="162"/>
      <c r="AL799" s="165"/>
      <c r="AM799" s="166"/>
      <c r="AN799" s="165"/>
      <c r="AO799" s="160"/>
      <c r="AP799" s="162"/>
      <c r="AQ799" s="161"/>
      <c r="AR799" s="162"/>
      <c r="AS799" s="161"/>
      <c r="AT799" s="165"/>
      <c r="AU799" s="166"/>
      <c r="AV799" s="165"/>
      <c r="AW799" s="166"/>
      <c r="AX799" s="165"/>
      <c r="AY799" s="165"/>
      <c r="AZ799" s="165"/>
      <c r="BA799" s="165"/>
      <c r="BB799" s="166"/>
      <c r="BC799" s="165"/>
      <c r="BD799" s="165"/>
      <c r="BE799" s="165"/>
      <c r="BF799" s="165"/>
      <c r="BG799" s="165"/>
      <c r="BH799" s="165"/>
      <c r="BI799" s="165"/>
      <c r="BJ799" s="166"/>
      <c r="BK799" s="165"/>
      <c r="BL799" s="165"/>
      <c r="BM799" s="163"/>
      <c r="BN799" s="165"/>
      <c r="BO799" s="165"/>
      <c r="BP799" s="165"/>
      <c r="BQ799" s="167"/>
    </row>
    <row r="800" spans="1:270" ht="39.950000000000003" customHeight="1" outlineLevel="1" x14ac:dyDescent="0.3">
      <c r="A800" s="12" t="s">
        <v>1014</v>
      </c>
      <c r="B800" s="10" t="s">
        <v>1051</v>
      </c>
      <c r="C800" s="21" t="s">
        <v>30</v>
      </c>
      <c r="D800" s="21" t="s">
        <v>1261</v>
      </c>
      <c r="E800" s="158">
        <f t="shared" si="171"/>
        <v>6296.3819399999993</v>
      </c>
      <c r="F800" s="159">
        <f t="shared" si="172"/>
        <v>130.58476000000002</v>
      </c>
      <c r="G800" s="160">
        <f t="shared" si="173"/>
        <v>6165.7971799999996</v>
      </c>
      <c r="H800" s="166">
        <v>31.5</v>
      </c>
      <c r="I800" s="165">
        <v>10.5</v>
      </c>
      <c r="J800" s="160"/>
      <c r="K800" s="160"/>
      <c r="L800" s="166">
        <v>99.084760000000003</v>
      </c>
      <c r="M800" s="165">
        <v>155.29718</v>
      </c>
      <c r="N800" s="165"/>
      <c r="O800" s="165"/>
      <c r="P800" s="160"/>
      <c r="Q800" s="166"/>
      <c r="R800" s="165"/>
      <c r="S800" s="165"/>
      <c r="T800" s="159"/>
      <c r="U800" s="160"/>
      <c r="V800" s="165"/>
      <c r="W800" s="165"/>
      <c r="X800" s="160"/>
      <c r="Y800" s="166"/>
      <c r="Z800" s="160"/>
      <c r="AA800" s="160"/>
      <c r="AB800" s="165"/>
      <c r="AC800" s="165"/>
      <c r="AD800" s="165"/>
      <c r="AE800" s="165"/>
      <c r="AF800" s="160"/>
      <c r="AG800" s="160"/>
      <c r="AH800" s="160"/>
      <c r="AI800" s="160"/>
      <c r="AJ800" s="161"/>
      <c r="AK800" s="162"/>
      <c r="AL800" s="165"/>
      <c r="AM800" s="166"/>
      <c r="AN800" s="165"/>
      <c r="AO800" s="160"/>
      <c r="AP800" s="162"/>
      <c r="AQ800" s="161"/>
      <c r="AR800" s="162"/>
      <c r="AS800" s="161"/>
      <c r="AT800" s="165"/>
      <c r="AU800" s="166"/>
      <c r="AV800" s="165"/>
      <c r="AW800" s="166"/>
      <c r="AX800" s="165"/>
      <c r="AY800" s="165"/>
      <c r="AZ800" s="165"/>
      <c r="BA800" s="165"/>
      <c r="BB800" s="166"/>
      <c r="BC800" s="165"/>
      <c r="BD800" s="165"/>
      <c r="BE800" s="165"/>
      <c r="BF800" s="165"/>
      <c r="BG800" s="165"/>
      <c r="BH800" s="165">
        <v>6000</v>
      </c>
      <c r="BI800" s="165"/>
      <c r="BJ800" s="166"/>
      <c r="BK800" s="165"/>
      <c r="BL800" s="165"/>
      <c r="BM800" s="163"/>
      <c r="BN800" s="165"/>
      <c r="BO800" s="165"/>
      <c r="BP800" s="165"/>
      <c r="BQ800" s="167"/>
    </row>
    <row r="801" spans="1:69" ht="39.950000000000003" customHeight="1" outlineLevel="1" x14ac:dyDescent="0.3">
      <c r="A801" s="12" t="s">
        <v>1014</v>
      </c>
      <c r="B801" s="12" t="s">
        <v>1041</v>
      </c>
      <c r="C801" s="35" t="s">
        <v>30</v>
      </c>
      <c r="D801" s="66" t="s">
        <v>1042</v>
      </c>
      <c r="E801" s="158">
        <f t="shared" si="171"/>
        <v>219.54318000000001</v>
      </c>
      <c r="F801" s="159">
        <f t="shared" si="172"/>
        <v>126.95422000000001</v>
      </c>
      <c r="G801" s="160">
        <f t="shared" si="173"/>
        <v>92.58896</v>
      </c>
      <c r="H801" s="166">
        <v>86.215500000000006</v>
      </c>
      <c r="I801" s="165">
        <v>28.738499999999998</v>
      </c>
      <c r="J801" s="160"/>
      <c r="K801" s="160"/>
      <c r="L801" s="166">
        <v>40.738720000000001</v>
      </c>
      <c r="M801" s="165">
        <v>63.850459999999998</v>
      </c>
      <c r="N801" s="165"/>
      <c r="O801" s="165"/>
      <c r="P801" s="160"/>
      <c r="Q801" s="166"/>
      <c r="R801" s="165"/>
      <c r="S801" s="165"/>
      <c r="T801" s="159"/>
      <c r="U801" s="160"/>
      <c r="V801" s="165"/>
      <c r="W801" s="165"/>
      <c r="X801" s="160"/>
      <c r="Y801" s="166"/>
      <c r="Z801" s="160"/>
      <c r="AA801" s="160"/>
      <c r="AB801" s="165"/>
      <c r="AC801" s="165"/>
      <c r="AD801" s="165"/>
      <c r="AE801" s="165"/>
      <c r="AF801" s="160"/>
      <c r="AG801" s="160"/>
      <c r="AH801" s="160"/>
      <c r="AI801" s="160"/>
      <c r="AJ801" s="161"/>
      <c r="AK801" s="162"/>
      <c r="AL801" s="165"/>
      <c r="AM801" s="166"/>
      <c r="AN801" s="165"/>
      <c r="AO801" s="160"/>
      <c r="AP801" s="162"/>
      <c r="AQ801" s="161"/>
      <c r="AR801" s="162"/>
      <c r="AS801" s="161"/>
      <c r="AT801" s="165"/>
      <c r="AU801" s="166"/>
      <c r="AV801" s="165"/>
      <c r="AW801" s="166"/>
      <c r="AX801" s="165"/>
      <c r="AY801" s="165"/>
      <c r="AZ801" s="165"/>
      <c r="BA801" s="165"/>
      <c r="BB801" s="166"/>
      <c r="BC801" s="165"/>
      <c r="BD801" s="165"/>
      <c r="BE801" s="165"/>
      <c r="BF801" s="165"/>
      <c r="BG801" s="165"/>
      <c r="BH801" s="165"/>
      <c r="BI801" s="165"/>
      <c r="BJ801" s="166"/>
      <c r="BK801" s="165"/>
      <c r="BL801" s="165"/>
      <c r="BM801" s="163"/>
      <c r="BN801" s="165"/>
      <c r="BO801" s="165"/>
      <c r="BP801" s="165"/>
      <c r="BQ801" s="167"/>
    </row>
    <row r="802" spans="1:69" ht="39.950000000000003" customHeight="1" outlineLevel="1" x14ac:dyDescent="0.3">
      <c r="A802" s="12" t="s">
        <v>1014</v>
      </c>
      <c r="B802" s="14" t="s">
        <v>1045</v>
      </c>
      <c r="C802" s="9" t="s">
        <v>30</v>
      </c>
      <c r="D802" s="9" t="s">
        <v>1256</v>
      </c>
      <c r="E802" s="158">
        <f t="shared" si="171"/>
        <v>45.723799999999997</v>
      </c>
      <c r="F802" s="159">
        <f t="shared" si="172"/>
        <v>17.80996</v>
      </c>
      <c r="G802" s="160">
        <f t="shared" si="173"/>
        <v>27.91384</v>
      </c>
      <c r="H802" s="166"/>
      <c r="I802" s="165"/>
      <c r="J802" s="160"/>
      <c r="K802" s="160"/>
      <c r="L802" s="166">
        <v>17.80996</v>
      </c>
      <c r="M802" s="165">
        <v>27.91384</v>
      </c>
      <c r="N802" s="165"/>
      <c r="O802" s="165"/>
      <c r="P802" s="160"/>
      <c r="Q802" s="166"/>
      <c r="R802" s="165"/>
      <c r="S802" s="165"/>
      <c r="T802" s="159"/>
      <c r="U802" s="160"/>
      <c r="V802" s="165"/>
      <c r="W802" s="165"/>
      <c r="X802" s="160"/>
      <c r="Y802" s="166"/>
      <c r="Z802" s="160"/>
      <c r="AA802" s="160"/>
      <c r="AB802" s="165"/>
      <c r="AC802" s="165"/>
      <c r="AD802" s="165"/>
      <c r="AE802" s="165"/>
      <c r="AF802" s="160"/>
      <c r="AG802" s="160"/>
      <c r="AH802" s="160"/>
      <c r="AI802" s="160"/>
      <c r="AJ802" s="161"/>
      <c r="AK802" s="162"/>
      <c r="AL802" s="165"/>
      <c r="AM802" s="166"/>
      <c r="AN802" s="165"/>
      <c r="AO802" s="160"/>
      <c r="AP802" s="162"/>
      <c r="AQ802" s="161"/>
      <c r="AR802" s="162"/>
      <c r="AS802" s="161"/>
      <c r="AT802" s="165"/>
      <c r="AU802" s="166"/>
      <c r="AV802" s="165"/>
      <c r="AW802" s="166"/>
      <c r="AX802" s="165"/>
      <c r="AY802" s="165"/>
      <c r="AZ802" s="165"/>
      <c r="BA802" s="165"/>
      <c r="BB802" s="166"/>
      <c r="BC802" s="165"/>
      <c r="BD802" s="165"/>
      <c r="BE802" s="165"/>
      <c r="BF802" s="165"/>
      <c r="BG802" s="165"/>
      <c r="BH802" s="165"/>
      <c r="BI802" s="165"/>
      <c r="BJ802" s="166"/>
      <c r="BK802" s="165"/>
      <c r="BL802" s="165"/>
      <c r="BM802" s="163"/>
      <c r="BN802" s="165"/>
      <c r="BO802" s="165"/>
      <c r="BP802" s="165"/>
      <c r="BQ802" s="167"/>
    </row>
    <row r="803" spans="1:69" ht="39.950000000000003" customHeight="1" outlineLevel="1" x14ac:dyDescent="0.3">
      <c r="A803" s="15" t="s">
        <v>1014</v>
      </c>
      <c r="B803" s="14" t="s">
        <v>1419</v>
      </c>
      <c r="C803" s="9" t="s">
        <v>30</v>
      </c>
      <c r="D803" s="9" t="s">
        <v>1420</v>
      </c>
      <c r="E803" s="158">
        <f t="shared" si="171"/>
        <v>63</v>
      </c>
      <c r="F803" s="159">
        <f t="shared" si="172"/>
        <v>47.25</v>
      </c>
      <c r="G803" s="160">
        <f t="shared" si="173"/>
        <v>15.75</v>
      </c>
      <c r="H803" s="166">
        <v>47.25</v>
      </c>
      <c r="I803" s="165">
        <v>15.75</v>
      </c>
      <c r="J803" s="160"/>
      <c r="K803" s="160"/>
      <c r="L803" s="166"/>
      <c r="M803" s="165"/>
      <c r="N803" s="165"/>
      <c r="O803" s="165"/>
      <c r="P803" s="160"/>
      <c r="Q803" s="166"/>
      <c r="R803" s="165"/>
      <c r="S803" s="165"/>
      <c r="T803" s="159"/>
      <c r="U803" s="160"/>
      <c r="V803" s="165"/>
      <c r="W803" s="165"/>
      <c r="X803" s="160"/>
      <c r="Y803" s="166"/>
      <c r="Z803" s="160"/>
      <c r="AA803" s="160"/>
      <c r="AB803" s="165"/>
      <c r="AC803" s="165"/>
      <c r="AD803" s="165"/>
      <c r="AE803" s="165"/>
      <c r="AF803" s="160"/>
      <c r="AG803" s="160"/>
      <c r="AH803" s="160"/>
      <c r="AI803" s="160"/>
      <c r="AJ803" s="161"/>
      <c r="AK803" s="162"/>
      <c r="AL803" s="165"/>
      <c r="AM803" s="166"/>
      <c r="AN803" s="165"/>
      <c r="AO803" s="160"/>
      <c r="AP803" s="162"/>
      <c r="AQ803" s="161"/>
      <c r="AR803" s="162"/>
      <c r="AS803" s="161"/>
      <c r="AT803" s="165"/>
      <c r="AU803" s="166"/>
      <c r="AV803" s="165"/>
      <c r="AW803" s="166"/>
      <c r="AX803" s="165"/>
      <c r="AY803" s="165"/>
      <c r="AZ803" s="165"/>
      <c r="BA803" s="165"/>
      <c r="BB803" s="166"/>
      <c r="BC803" s="165"/>
      <c r="BD803" s="165"/>
      <c r="BE803" s="165"/>
      <c r="BF803" s="165"/>
      <c r="BG803" s="165"/>
      <c r="BH803" s="165"/>
      <c r="BI803" s="165"/>
      <c r="BJ803" s="166"/>
      <c r="BK803" s="165"/>
      <c r="BL803" s="165"/>
      <c r="BM803" s="163"/>
      <c r="BN803" s="165"/>
      <c r="BO803" s="165"/>
      <c r="BP803" s="165"/>
      <c r="BQ803" s="167"/>
    </row>
    <row r="804" spans="1:69" ht="39.950000000000003" customHeight="1" outlineLevel="1" x14ac:dyDescent="0.3">
      <c r="A804" s="15" t="s">
        <v>1014</v>
      </c>
      <c r="B804" s="10" t="s">
        <v>1381</v>
      </c>
      <c r="C804" s="21" t="s">
        <v>30</v>
      </c>
      <c r="D804" s="21" t="s">
        <v>1459</v>
      </c>
      <c r="E804" s="158">
        <f t="shared" si="171"/>
        <v>287.21172999999999</v>
      </c>
      <c r="F804" s="159">
        <f t="shared" si="172"/>
        <v>52.353000000000002</v>
      </c>
      <c r="G804" s="160">
        <f t="shared" si="173"/>
        <v>234.85872999999998</v>
      </c>
      <c r="H804" s="166"/>
      <c r="I804" s="165"/>
      <c r="J804" s="160"/>
      <c r="K804" s="160"/>
      <c r="L804" s="166"/>
      <c r="M804" s="165"/>
      <c r="N804" s="165"/>
      <c r="O804" s="165"/>
      <c r="P804" s="160"/>
      <c r="Q804" s="166"/>
      <c r="R804" s="165"/>
      <c r="S804" s="165"/>
      <c r="T804" s="159"/>
      <c r="U804" s="160"/>
      <c r="V804" s="165"/>
      <c r="W804" s="165"/>
      <c r="X804" s="160"/>
      <c r="Y804" s="166">
        <v>52.353000000000002</v>
      </c>
      <c r="Z804" s="160">
        <v>17.451000000000001</v>
      </c>
      <c r="AA804" s="160">
        <v>217.40772999999999</v>
      </c>
      <c r="AB804" s="165"/>
      <c r="AC804" s="165"/>
      <c r="AD804" s="165"/>
      <c r="AE804" s="165"/>
      <c r="AF804" s="160"/>
      <c r="AG804" s="160"/>
      <c r="AH804" s="160"/>
      <c r="AI804" s="160"/>
      <c r="AJ804" s="161"/>
      <c r="AK804" s="162"/>
      <c r="AL804" s="165"/>
      <c r="AM804" s="166"/>
      <c r="AN804" s="165"/>
      <c r="AO804" s="160"/>
      <c r="AP804" s="162"/>
      <c r="AQ804" s="161"/>
      <c r="AR804" s="162"/>
      <c r="AS804" s="161"/>
      <c r="AT804" s="165"/>
      <c r="AU804" s="166"/>
      <c r="AV804" s="165"/>
      <c r="AW804" s="166"/>
      <c r="AX804" s="165"/>
      <c r="AY804" s="165"/>
      <c r="AZ804" s="165"/>
      <c r="BA804" s="165"/>
      <c r="BB804" s="166"/>
      <c r="BC804" s="165"/>
      <c r="BD804" s="165"/>
      <c r="BE804" s="165"/>
      <c r="BF804" s="165"/>
      <c r="BG804" s="165"/>
      <c r="BH804" s="165"/>
      <c r="BI804" s="165"/>
      <c r="BJ804" s="166"/>
      <c r="BK804" s="165"/>
      <c r="BL804" s="165"/>
      <c r="BM804" s="163"/>
      <c r="BN804" s="165"/>
      <c r="BO804" s="165"/>
      <c r="BP804" s="165"/>
      <c r="BQ804" s="167"/>
    </row>
    <row r="805" spans="1:69" ht="39.950000000000003" customHeight="1" outlineLevel="1" x14ac:dyDescent="0.3">
      <c r="A805" s="12" t="s">
        <v>1014</v>
      </c>
      <c r="B805" s="10" t="s">
        <v>1050</v>
      </c>
      <c r="C805" s="21" t="s">
        <v>30</v>
      </c>
      <c r="D805" s="21" t="s">
        <v>1260</v>
      </c>
      <c r="E805" s="158">
        <f t="shared" si="171"/>
        <v>2042.0388399999999</v>
      </c>
      <c r="F805" s="159">
        <f t="shared" si="172"/>
        <v>324.57384000000002</v>
      </c>
      <c r="G805" s="160">
        <f t="shared" si="173"/>
        <v>1717.4649999999999</v>
      </c>
      <c r="H805" s="166">
        <v>52.447499999999998</v>
      </c>
      <c r="I805" s="165">
        <v>17.482500000000002</v>
      </c>
      <c r="J805" s="160"/>
      <c r="K805" s="160"/>
      <c r="L805" s="166">
        <v>272.12634000000003</v>
      </c>
      <c r="M805" s="165">
        <v>426.50812999999999</v>
      </c>
      <c r="N805" s="165"/>
      <c r="O805" s="165"/>
      <c r="P805" s="160"/>
      <c r="Q805" s="166"/>
      <c r="R805" s="165"/>
      <c r="S805" s="165"/>
      <c r="T805" s="159"/>
      <c r="U805" s="160"/>
      <c r="V805" s="165"/>
      <c r="W805" s="165"/>
      <c r="X805" s="160"/>
      <c r="Y805" s="166"/>
      <c r="Z805" s="160"/>
      <c r="AA805" s="160"/>
      <c r="AB805" s="165"/>
      <c r="AC805" s="165"/>
      <c r="AD805" s="165"/>
      <c r="AE805" s="165"/>
      <c r="AF805" s="160"/>
      <c r="AG805" s="160"/>
      <c r="AH805" s="160"/>
      <c r="AI805" s="160"/>
      <c r="AJ805" s="161"/>
      <c r="AK805" s="162"/>
      <c r="AL805" s="165"/>
      <c r="AM805" s="166"/>
      <c r="AN805" s="165"/>
      <c r="AO805" s="160"/>
      <c r="AP805" s="162"/>
      <c r="AQ805" s="161"/>
      <c r="AR805" s="162"/>
      <c r="AS805" s="161"/>
      <c r="AT805" s="165"/>
      <c r="AU805" s="166"/>
      <c r="AV805" s="165"/>
      <c r="AW805" s="166"/>
      <c r="AX805" s="165"/>
      <c r="AY805" s="165"/>
      <c r="AZ805" s="165"/>
      <c r="BA805" s="165"/>
      <c r="BB805" s="166"/>
      <c r="BC805" s="165"/>
      <c r="BD805" s="165"/>
      <c r="BE805" s="165"/>
      <c r="BF805" s="165">
        <v>1273.4743699999999</v>
      </c>
      <c r="BG805" s="165"/>
      <c r="BH805" s="165"/>
      <c r="BI805" s="165"/>
      <c r="BJ805" s="166"/>
      <c r="BK805" s="165"/>
      <c r="BL805" s="165"/>
      <c r="BM805" s="163"/>
      <c r="BN805" s="165"/>
      <c r="BO805" s="165"/>
      <c r="BP805" s="165"/>
      <c r="BQ805" s="167"/>
    </row>
    <row r="806" spans="1:69" ht="39.950000000000003" customHeight="1" outlineLevel="1" x14ac:dyDescent="0.3">
      <c r="A806" s="15" t="s">
        <v>1014</v>
      </c>
      <c r="B806" s="14" t="s">
        <v>1043</v>
      </c>
      <c r="C806" s="9" t="s">
        <v>30</v>
      </c>
      <c r="D806" s="66" t="s">
        <v>1044</v>
      </c>
      <c r="E806" s="158">
        <f t="shared" si="171"/>
        <v>433.54550999999998</v>
      </c>
      <c r="F806" s="159">
        <f t="shared" si="172"/>
        <v>188.59998999999999</v>
      </c>
      <c r="G806" s="160">
        <f t="shared" si="173"/>
        <v>244.94551999999999</v>
      </c>
      <c r="H806" s="166"/>
      <c r="I806" s="165"/>
      <c r="J806" s="160"/>
      <c r="K806" s="160"/>
      <c r="L806" s="166">
        <v>147.75987000000001</v>
      </c>
      <c r="M806" s="165">
        <v>231.5865</v>
      </c>
      <c r="N806" s="165"/>
      <c r="O806" s="165"/>
      <c r="P806" s="160"/>
      <c r="Q806" s="166"/>
      <c r="R806" s="165"/>
      <c r="S806" s="165"/>
      <c r="T806" s="159"/>
      <c r="U806" s="160"/>
      <c r="V806" s="165"/>
      <c r="W806" s="165"/>
      <c r="X806" s="160"/>
      <c r="Y806" s="166"/>
      <c r="Z806" s="160"/>
      <c r="AA806" s="160"/>
      <c r="AB806" s="165"/>
      <c r="AC806" s="165"/>
      <c r="AD806" s="165"/>
      <c r="AE806" s="165"/>
      <c r="AF806" s="160"/>
      <c r="AG806" s="160"/>
      <c r="AH806" s="160"/>
      <c r="AI806" s="160"/>
      <c r="AJ806" s="161"/>
      <c r="AK806" s="162"/>
      <c r="AL806" s="165"/>
      <c r="AM806" s="166"/>
      <c r="AN806" s="165"/>
      <c r="AO806" s="160"/>
      <c r="AP806" s="162"/>
      <c r="AQ806" s="161"/>
      <c r="AR806" s="162"/>
      <c r="AS806" s="161"/>
      <c r="AT806" s="165"/>
      <c r="AU806" s="166"/>
      <c r="AV806" s="165"/>
      <c r="AW806" s="166">
        <f>24.70429+16.13583</f>
        <v>40.840119999999999</v>
      </c>
      <c r="AX806" s="165">
        <f>1.16004+7.37919+4.81979</f>
        <v>13.359020000000001</v>
      </c>
      <c r="AY806" s="165"/>
      <c r="AZ806" s="165"/>
      <c r="BA806" s="165"/>
      <c r="BB806" s="166"/>
      <c r="BC806" s="165"/>
      <c r="BD806" s="165"/>
      <c r="BE806" s="165"/>
      <c r="BF806" s="165"/>
      <c r="BG806" s="165"/>
      <c r="BH806" s="165"/>
      <c r="BI806" s="165"/>
      <c r="BJ806" s="166"/>
      <c r="BK806" s="165"/>
      <c r="BL806" s="165"/>
      <c r="BM806" s="163"/>
      <c r="BN806" s="165"/>
      <c r="BO806" s="165"/>
      <c r="BP806" s="165"/>
      <c r="BQ806" s="167"/>
    </row>
    <row r="807" spans="1:69" ht="39.950000000000003" customHeight="1" outlineLevel="1" x14ac:dyDescent="0.3">
      <c r="A807" s="12" t="s">
        <v>1014</v>
      </c>
      <c r="B807" s="10" t="s">
        <v>1049</v>
      </c>
      <c r="C807" s="21" t="s">
        <v>30</v>
      </c>
      <c r="D807" s="21" t="s">
        <v>1259</v>
      </c>
      <c r="E807" s="158">
        <f t="shared" si="171"/>
        <v>26.404769999999999</v>
      </c>
      <c r="F807" s="159">
        <f t="shared" si="172"/>
        <v>10.28497</v>
      </c>
      <c r="G807" s="160">
        <f t="shared" si="173"/>
        <v>16.119800000000001</v>
      </c>
      <c r="H807" s="166"/>
      <c r="I807" s="165"/>
      <c r="J807" s="160"/>
      <c r="K807" s="160"/>
      <c r="L807" s="166">
        <v>10.28497</v>
      </c>
      <c r="M807" s="165">
        <v>16.119800000000001</v>
      </c>
      <c r="N807" s="165"/>
      <c r="O807" s="165"/>
      <c r="P807" s="160"/>
      <c r="Q807" s="166"/>
      <c r="R807" s="165"/>
      <c r="S807" s="165"/>
      <c r="T807" s="159"/>
      <c r="U807" s="160"/>
      <c r="V807" s="165"/>
      <c r="W807" s="165"/>
      <c r="X807" s="160"/>
      <c r="Y807" s="166"/>
      <c r="Z807" s="160"/>
      <c r="AA807" s="160"/>
      <c r="AB807" s="165"/>
      <c r="AC807" s="165"/>
      <c r="AD807" s="165"/>
      <c r="AE807" s="165"/>
      <c r="AF807" s="160"/>
      <c r="AG807" s="160"/>
      <c r="AH807" s="160"/>
      <c r="AI807" s="160"/>
      <c r="AJ807" s="161"/>
      <c r="AK807" s="162"/>
      <c r="AL807" s="165"/>
      <c r="AM807" s="166"/>
      <c r="AN807" s="165"/>
      <c r="AO807" s="160"/>
      <c r="AP807" s="162"/>
      <c r="AQ807" s="161"/>
      <c r="AR807" s="162"/>
      <c r="AS807" s="161"/>
      <c r="AT807" s="165"/>
      <c r="AU807" s="166"/>
      <c r="AV807" s="165"/>
      <c r="AW807" s="166"/>
      <c r="AX807" s="165"/>
      <c r="AY807" s="165"/>
      <c r="AZ807" s="165"/>
      <c r="BA807" s="165"/>
      <c r="BB807" s="166"/>
      <c r="BC807" s="165"/>
      <c r="BD807" s="165"/>
      <c r="BE807" s="165"/>
      <c r="BF807" s="165"/>
      <c r="BG807" s="165"/>
      <c r="BH807" s="165"/>
      <c r="BI807" s="165"/>
      <c r="BJ807" s="166"/>
      <c r="BK807" s="165"/>
      <c r="BL807" s="165"/>
      <c r="BM807" s="163"/>
      <c r="BN807" s="165"/>
      <c r="BO807" s="165"/>
      <c r="BP807" s="165"/>
      <c r="BQ807" s="167"/>
    </row>
    <row r="808" spans="1:69" ht="39.950000000000003" customHeight="1" outlineLevel="1" x14ac:dyDescent="0.3">
      <c r="A808" s="15" t="s">
        <v>1014</v>
      </c>
      <c r="B808" s="14" t="s">
        <v>1052</v>
      </c>
      <c r="C808" s="9" t="s">
        <v>723</v>
      </c>
      <c r="D808" s="9" t="s">
        <v>1263</v>
      </c>
      <c r="E808" s="158">
        <f t="shared" si="171"/>
        <v>1902.3907400000003</v>
      </c>
      <c r="F808" s="159">
        <f t="shared" si="172"/>
        <v>670.47807</v>
      </c>
      <c r="G808" s="160">
        <f t="shared" si="173"/>
        <v>1231.9126700000002</v>
      </c>
      <c r="H808" s="166"/>
      <c r="I808" s="165"/>
      <c r="J808" s="160"/>
      <c r="K808" s="160"/>
      <c r="L808" s="166"/>
      <c r="M808" s="165"/>
      <c r="N808" s="165"/>
      <c r="O808" s="165"/>
      <c r="P808" s="160"/>
      <c r="Q808" s="166"/>
      <c r="R808" s="165"/>
      <c r="S808" s="165"/>
      <c r="T808" s="159"/>
      <c r="U808" s="160"/>
      <c r="V808" s="165"/>
      <c r="W808" s="165"/>
      <c r="X808" s="160"/>
      <c r="Y808" s="166"/>
      <c r="Z808" s="160"/>
      <c r="AA808" s="160"/>
      <c r="AB808" s="165"/>
      <c r="AC808" s="165"/>
      <c r="AD808" s="165"/>
      <c r="AE808" s="165"/>
      <c r="AF808" s="160"/>
      <c r="AG808" s="160"/>
      <c r="AH808" s="160"/>
      <c r="AI808" s="160"/>
      <c r="AJ808" s="161"/>
      <c r="AK808" s="162"/>
      <c r="AL808" s="165"/>
      <c r="AM808" s="166"/>
      <c r="AN808" s="165"/>
      <c r="AO808" s="160"/>
      <c r="AP808" s="162"/>
      <c r="AQ808" s="161"/>
      <c r="AR808" s="162"/>
      <c r="AS808" s="161"/>
      <c r="AT808" s="165"/>
      <c r="AU808" s="166"/>
      <c r="AV808" s="165"/>
      <c r="AW808" s="166">
        <f>159.40051+511.07756</f>
        <v>670.47807</v>
      </c>
      <c r="AX808" s="165">
        <f>47.61314+152.65953</f>
        <v>200.27267000000001</v>
      </c>
      <c r="AY808" s="165"/>
      <c r="AZ808" s="165"/>
      <c r="BA808" s="165"/>
      <c r="BB808" s="166"/>
      <c r="BC808" s="165"/>
      <c r="BD808" s="165"/>
      <c r="BE808" s="165"/>
      <c r="BF808" s="165"/>
      <c r="BG808" s="165"/>
      <c r="BH808" s="165"/>
      <c r="BI808" s="165">
        <v>1031.6400000000001</v>
      </c>
      <c r="BJ808" s="166"/>
      <c r="BK808" s="165"/>
      <c r="BL808" s="165"/>
      <c r="BM808" s="163"/>
      <c r="BN808" s="165"/>
      <c r="BO808" s="165"/>
      <c r="BP808" s="165"/>
      <c r="BQ808" s="167"/>
    </row>
    <row r="809" spans="1:69" ht="39.950000000000003" customHeight="1" outlineLevel="1" x14ac:dyDescent="0.3">
      <c r="A809" s="15" t="s">
        <v>1014</v>
      </c>
      <c r="B809" s="14" t="s">
        <v>1015</v>
      </c>
      <c r="C809" s="9" t="s">
        <v>6</v>
      </c>
      <c r="D809" s="66" t="s">
        <v>1016</v>
      </c>
      <c r="E809" s="158">
        <f t="shared" si="171"/>
        <v>12540.131270000002</v>
      </c>
      <c r="F809" s="159">
        <f t="shared" si="172"/>
        <v>2274.5141800000001</v>
      </c>
      <c r="G809" s="160">
        <f t="shared" si="173"/>
        <v>10265.617090000002</v>
      </c>
      <c r="H809" s="166">
        <v>445.44675000000001</v>
      </c>
      <c r="I809" s="165">
        <v>148.48224999999999</v>
      </c>
      <c r="J809" s="160">
        <v>96</v>
      </c>
      <c r="K809" s="160"/>
      <c r="L809" s="166">
        <v>871.47565999999995</v>
      </c>
      <c r="M809" s="165">
        <v>1365.87826</v>
      </c>
      <c r="N809" s="165"/>
      <c r="O809" s="165"/>
      <c r="P809" s="160"/>
      <c r="Q809" s="166"/>
      <c r="R809" s="165"/>
      <c r="S809" s="165"/>
      <c r="T809" s="159"/>
      <c r="U809" s="160"/>
      <c r="V809" s="165"/>
      <c r="W809" s="165"/>
      <c r="X809" s="160"/>
      <c r="Y809" s="166">
        <v>931.76700000000005</v>
      </c>
      <c r="Z809" s="160">
        <v>310.589</v>
      </c>
      <c r="AA809" s="160">
        <v>4205.8736900000004</v>
      </c>
      <c r="AB809" s="165"/>
      <c r="AC809" s="165"/>
      <c r="AD809" s="165"/>
      <c r="AE809" s="165"/>
      <c r="AF809" s="160"/>
      <c r="AG809" s="160"/>
      <c r="AH809" s="160"/>
      <c r="AI809" s="160">
        <v>170.13242</v>
      </c>
      <c r="AJ809" s="161"/>
      <c r="AK809" s="162"/>
      <c r="AL809" s="165"/>
      <c r="AM809" s="166"/>
      <c r="AN809" s="165"/>
      <c r="AO809" s="160"/>
      <c r="AP809" s="162"/>
      <c r="AQ809" s="161"/>
      <c r="AR809" s="162"/>
      <c r="AS809" s="161"/>
      <c r="AT809" s="165"/>
      <c r="AU809" s="166"/>
      <c r="AV809" s="165"/>
      <c r="AW809" s="166">
        <v>25.824770000000001</v>
      </c>
      <c r="AX809" s="165">
        <f>1.9084+7.71389</f>
        <v>9.6222899999999996</v>
      </c>
      <c r="AY809" s="165"/>
      <c r="AZ809" s="165"/>
      <c r="BA809" s="165"/>
      <c r="BB809" s="166"/>
      <c r="BC809" s="165"/>
      <c r="BD809" s="165"/>
      <c r="BE809" s="165"/>
      <c r="BF809" s="165">
        <v>375.3</v>
      </c>
      <c r="BG809" s="165">
        <v>390.11077999999998</v>
      </c>
      <c r="BH809" s="165">
        <v>3000</v>
      </c>
      <c r="BI809" s="165"/>
      <c r="BJ809" s="166"/>
      <c r="BK809" s="165"/>
      <c r="BL809" s="165"/>
      <c r="BM809" s="163"/>
      <c r="BN809" s="165"/>
      <c r="BO809" s="165">
        <v>193.6284</v>
      </c>
      <c r="BP809" s="165"/>
      <c r="BQ809" s="167"/>
    </row>
    <row r="810" spans="1:69" ht="39.950000000000003" customHeight="1" outlineLevel="1" x14ac:dyDescent="0.3">
      <c r="A810" s="17" t="s">
        <v>1014</v>
      </c>
      <c r="B810" s="14" t="s">
        <v>1017</v>
      </c>
      <c r="C810" s="9" t="s">
        <v>6</v>
      </c>
      <c r="D810" s="66" t="s">
        <v>1018</v>
      </c>
      <c r="E810" s="158">
        <f t="shared" si="171"/>
        <v>80.701579999999993</v>
      </c>
      <c r="F810" s="159">
        <f t="shared" si="172"/>
        <v>37.371989999999997</v>
      </c>
      <c r="G810" s="160">
        <f t="shared" si="173"/>
        <v>43.329589999999996</v>
      </c>
      <c r="H810" s="166">
        <v>12.35361</v>
      </c>
      <c r="I810" s="165">
        <v>4.1178800000000004</v>
      </c>
      <c r="J810" s="160"/>
      <c r="K810" s="160"/>
      <c r="L810" s="166">
        <v>25.018380000000001</v>
      </c>
      <c r="M810" s="165">
        <v>39.211709999999997</v>
      </c>
      <c r="N810" s="165"/>
      <c r="O810" s="165"/>
      <c r="P810" s="160"/>
      <c r="Q810" s="166"/>
      <c r="R810" s="165"/>
      <c r="S810" s="165"/>
      <c r="T810" s="159"/>
      <c r="U810" s="160"/>
      <c r="V810" s="165"/>
      <c r="W810" s="165"/>
      <c r="X810" s="160"/>
      <c r="Y810" s="166"/>
      <c r="Z810" s="160"/>
      <c r="AA810" s="160"/>
      <c r="AB810" s="165"/>
      <c r="AC810" s="165"/>
      <c r="AD810" s="165"/>
      <c r="AE810" s="165"/>
      <c r="AF810" s="160"/>
      <c r="AG810" s="160"/>
      <c r="AH810" s="160"/>
      <c r="AI810" s="160"/>
      <c r="AJ810" s="161"/>
      <c r="AK810" s="162"/>
      <c r="AL810" s="165"/>
      <c r="AM810" s="166"/>
      <c r="AN810" s="165"/>
      <c r="AO810" s="160"/>
      <c r="AP810" s="162"/>
      <c r="AQ810" s="161"/>
      <c r="AR810" s="162"/>
      <c r="AS810" s="161"/>
      <c r="AT810" s="165"/>
      <c r="AU810" s="166"/>
      <c r="AV810" s="165"/>
      <c r="AW810" s="166"/>
      <c r="AX810" s="165"/>
      <c r="AY810" s="165"/>
      <c r="AZ810" s="165"/>
      <c r="BA810" s="165"/>
      <c r="BB810" s="166"/>
      <c r="BC810" s="165"/>
      <c r="BD810" s="165"/>
      <c r="BE810" s="165"/>
      <c r="BF810" s="165"/>
      <c r="BG810" s="165"/>
      <c r="BH810" s="165"/>
      <c r="BI810" s="165"/>
      <c r="BJ810" s="166"/>
      <c r="BK810" s="165"/>
      <c r="BL810" s="165"/>
      <c r="BM810" s="163"/>
      <c r="BN810" s="165"/>
      <c r="BO810" s="165"/>
      <c r="BP810" s="165"/>
      <c r="BQ810" s="167"/>
    </row>
    <row r="811" spans="1:69" ht="39.950000000000003" customHeight="1" outlineLevel="1" x14ac:dyDescent="0.3">
      <c r="A811" s="17" t="s">
        <v>1014</v>
      </c>
      <c r="B811" s="12" t="s">
        <v>1019</v>
      </c>
      <c r="C811" s="9" t="s">
        <v>6</v>
      </c>
      <c r="D811" s="66" t="s">
        <v>1020</v>
      </c>
      <c r="E811" s="158">
        <f t="shared" si="171"/>
        <v>189.27940999999998</v>
      </c>
      <c r="F811" s="159">
        <f t="shared" si="172"/>
        <v>91.486369999999994</v>
      </c>
      <c r="G811" s="160">
        <f t="shared" si="173"/>
        <v>97.793040000000005</v>
      </c>
      <c r="H811" s="166">
        <v>36.9495</v>
      </c>
      <c r="I811" s="165">
        <v>12.3165</v>
      </c>
      <c r="J811" s="160"/>
      <c r="K811" s="160"/>
      <c r="L811" s="166">
        <v>54.53687</v>
      </c>
      <c r="M811" s="165">
        <v>85.47654</v>
      </c>
      <c r="N811" s="165"/>
      <c r="O811" s="165"/>
      <c r="P811" s="160"/>
      <c r="Q811" s="166"/>
      <c r="R811" s="165"/>
      <c r="S811" s="165"/>
      <c r="T811" s="159"/>
      <c r="U811" s="160"/>
      <c r="V811" s="165"/>
      <c r="W811" s="165"/>
      <c r="X811" s="160"/>
      <c r="Y811" s="166"/>
      <c r="Z811" s="160"/>
      <c r="AA811" s="160"/>
      <c r="AB811" s="165"/>
      <c r="AC811" s="165"/>
      <c r="AD811" s="165"/>
      <c r="AE811" s="165"/>
      <c r="AF811" s="160"/>
      <c r="AG811" s="160"/>
      <c r="AH811" s="160"/>
      <c r="AI811" s="160"/>
      <c r="AJ811" s="161"/>
      <c r="AK811" s="162"/>
      <c r="AL811" s="165"/>
      <c r="AM811" s="166"/>
      <c r="AN811" s="165"/>
      <c r="AO811" s="160"/>
      <c r="AP811" s="162"/>
      <c r="AQ811" s="161"/>
      <c r="AR811" s="162"/>
      <c r="AS811" s="161"/>
      <c r="AT811" s="165"/>
      <c r="AU811" s="166"/>
      <c r="AV811" s="165"/>
      <c r="AW811" s="166"/>
      <c r="AX811" s="165"/>
      <c r="AY811" s="165"/>
      <c r="AZ811" s="165"/>
      <c r="BA811" s="165"/>
      <c r="BB811" s="166"/>
      <c r="BC811" s="165"/>
      <c r="BD811" s="165"/>
      <c r="BE811" s="165"/>
      <c r="BF811" s="165"/>
      <c r="BG811" s="165"/>
      <c r="BH811" s="165"/>
      <c r="BI811" s="165"/>
      <c r="BJ811" s="166"/>
      <c r="BK811" s="165"/>
      <c r="BL811" s="165"/>
      <c r="BM811" s="163"/>
      <c r="BN811" s="165"/>
      <c r="BO811" s="165"/>
      <c r="BP811" s="165"/>
      <c r="BQ811" s="167"/>
    </row>
    <row r="812" spans="1:69" ht="39.950000000000003" customHeight="1" outlineLevel="1" x14ac:dyDescent="0.3">
      <c r="A812" s="17" t="s">
        <v>1014</v>
      </c>
      <c r="B812" s="12" t="s">
        <v>1021</v>
      </c>
      <c r="C812" s="9" t="s">
        <v>6</v>
      </c>
      <c r="D812" s="66" t="s">
        <v>1022</v>
      </c>
      <c r="E812" s="158">
        <f t="shared" si="171"/>
        <v>703.23392999999999</v>
      </c>
      <c r="F812" s="159">
        <f t="shared" si="172"/>
        <v>109.70087000000001</v>
      </c>
      <c r="G812" s="160">
        <f t="shared" si="173"/>
        <v>593.53305999999998</v>
      </c>
      <c r="H812" s="166">
        <v>63</v>
      </c>
      <c r="I812" s="165">
        <v>21</v>
      </c>
      <c r="J812" s="160"/>
      <c r="K812" s="160"/>
      <c r="L812" s="166">
        <v>46.700870000000002</v>
      </c>
      <c r="M812" s="165">
        <v>73.195059999999998</v>
      </c>
      <c r="N812" s="165"/>
      <c r="O812" s="165"/>
      <c r="P812" s="160"/>
      <c r="Q812" s="166"/>
      <c r="R812" s="165"/>
      <c r="S812" s="165"/>
      <c r="T812" s="159"/>
      <c r="U812" s="160"/>
      <c r="V812" s="165"/>
      <c r="W812" s="165"/>
      <c r="X812" s="160"/>
      <c r="Y812" s="166"/>
      <c r="Z812" s="160"/>
      <c r="AA812" s="160"/>
      <c r="AB812" s="165"/>
      <c r="AC812" s="165"/>
      <c r="AD812" s="165"/>
      <c r="AE812" s="165"/>
      <c r="AF812" s="160"/>
      <c r="AG812" s="160"/>
      <c r="AH812" s="160"/>
      <c r="AI812" s="160"/>
      <c r="AJ812" s="161"/>
      <c r="AK812" s="162"/>
      <c r="AL812" s="165"/>
      <c r="AM812" s="166"/>
      <c r="AN812" s="165"/>
      <c r="AO812" s="160"/>
      <c r="AP812" s="162"/>
      <c r="AQ812" s="161"/>
      <c r="AR812" s="162"/>
      <c r="AS812" s="161"/>
      <c r="AT812" s="165"/>
      <c r="AU812" s="166"/>
      <c r="AV812" s="165"/>
      <c r="AW812" s="166"/>
      <c r="AX812" s="165"/>
      <c r="AY812" s="165"/>
      <c r="AZ812" s="165"/>
      <c r="BA812" s="165"/>
      <c r="BB812" s="166"/>
      <c r="BC812" s="165"/>
      <c r="BD812" s="165"/>
      <c r="BE812" s="165"/>
      <c r="BF812" s="165"/>
      <c r="BG812" s="165"/>
      <c r="BH812" s="165"/>
      <c r="BI812" s="165"/>
      <c r="BJ812" s="166"/>
      <c r="BK812" s="165"/>
      <c r="BL812" s="165"/>
      <c r="BM812" s="163"/>
      <c r="BN812" s="165"/>
      <c r="BO812" s="165">
        <v>499.33800000000002</v>
      </c>
      <c r="BP812" s="165"/>
      <c r="BQ812" s="167"/>
    </row>
    <row r="813" spans="1:69" ht="39.950000000000003" customHeight="1" outlineLevel="1" x14ac:dyDescent="0.3">
      <c r="A813" s="15" t="s">
        <v>1014</v>
      </c>
      <c r="B813" s="14" t="s">
        <v>1023</v>
      </c>
      <c r="C813" s="9" t="s">
        <v>6</v>
      </c>
      <c r="D813" s="66" t="s">
        <v>1024</v>
      </c>
      <c r="E813" s="158">
        <f t="shared" si="171"/>
        <v>321.63941</v>
      </c>
      <c r="F813" s="159">
        <f t="shared" si="172"/>
        <v>197.75954000000002</v>
      </c>
      <c r="G813" s="160">
        <f t="shared" si="173"/>
        <v>123.87987000000001</v>
      </c>
      <c r="H813" s="166">
        <v>153.99299999999999</v>
      </c>
      <c r="I813" s="165">
        <v>51.331000000000003</v>
      </c>
      <c r="J813" s="160"/>
      <c r="K813" s="160"/>
      <c r="L813" s="166">
        <v>24.247610000000002</v>
      </c>
      <c r="M813" s="165">
        <v>38.003680000000003</v>
      </c>
      <c r="N813" s="165"/>
      <c r="O813" s="165"/>
      <c r="P813" s="160"/>
      <c r="Q813" s="166"/>
      <c r="R813" s="165"/>
      <c r="S813" s="165"/>
      <c r="T813" s="159"/>
      <c r="U813" s="160"/>
      <c r="V813" s="165"/>
      <c r="W813" s="165"/>
      <c r="X813" s="160"/>
      <c r="Y813" s="166"/>
      <c r="Z813" s="160"/>
      <c r="AA813" s="160"/>
      <c r="AB813" s="165"/>
      <c r="AC813" s="165"/>
      <c r="AD813" s="165"/>
      <c r="AE813" s="165"/>
      <c r="AF813" s="160"/>
      <c r="AG813" s="160"/>
      <c r="AH813" s="160"/>
      <c r="AI813" s="160"/>
      <c r="AJ813" s="161"/>
      <c r="AK813" s="162"/>
      <c r="AL813" s="165"/>
      <c r="AM813" s="166"/>
      <c r="AN813" s="165"/>
      <c r="AO813" s="160"/>
      <c r="AP813" s="162"/>
      <c r="AQ813" s="161"/>
      <c r="AR813" s="162"/>
      <c r="AS813" s="161"/>
      <c r="AT813" s="165"/>
      <c r="AU813" s="166"/>
      <c r="AV813" s="165"/>
      <c r="AW813" s="166">
        <v>19.518930000000001</v>
      </c>
      <c r="AX813" s="165">
        <f>3.92911+5.83034</f>
        <v>9.7594499999999993</v>
      </c>
      <c r="AY813" s="165"/>
      <c r="AZ813" s="165"/>
      <c r="BA813" s="165">
        <v>24.785740000000001</v>
      </c>
      <c r="BB813" s="166"/>
      <c r="BC813" s="165"/>
      <c r="BD813" s="165"/>
      <c r="BE813" s="165"/>
      <c r="BF813" s="165"/>
      <c r="BG813" s="165"/>
      <c r="BH813" s="165"/>
      <c r="BI813" s="165"/>
      <c r="BJ813" s="166"/>
      <c r="BK813" s="165"/>
      <c r="BL813" s="165"/>
      <c r="BM813" s="163"/>
      <c r="BN813" s="165"/>
      <c r="BO813" s="165"/>
      <c r="BP813" s="165"/>
      <c r="BQ813" s="167"/>
    </row>
    <row r="814" spans="1:69" ht="39.950000000000003" customHeight="1" outlineLevel="1" x14ac:dyDescent="0.3">
      <c r="A814" s="17" t="s">
        <v>1014</v>
      </c>
      <c r="B814" s="12" t="s">
        <v>1025</v>
      </c>
      <c r="C814" s="9" t="s">
        <v>6</v>
      </c>
      <c r="D814" s="66" t="s">
        <v>1026</v>
      </c>
      <c r="E814" s="158">
        <f t="shared" si="171"/>
        <v>4369.3443400000006</v>
      </c>
      <c r="F814" s="159">
        <f t="shared" si="172"/>
        <v>1649.61887</v>
      </c>
      <c r="G814" s="160">
        <f t="shared" si="173"/>
        <v>2719.7254700000003</v>
      </c>
      <c r="H814" s="166">
        <v>1250.3295000000001</v>
      </c>
      <c r="I814" s="165">
        <v>416.7765</v>
      </c>
      <c r="J814" s="160"/>
      <c r="K814" s="160"/>
      <c r="L814" s="166">
        <v>224.40707</v>
      </c>
      <c r="M814" s="165">
        <v>351.71690999999998</v>
      </c>
      <c r="N814" s="165"/>
      <c r="O814" s="165"/>
      <c r="P814" s="160"/>
      <c r="Q814" s="166"/>
      <c r="R814" s="165"/>
      <c r="S814" s="165"/>
      <c r="T814" s="159"/>
      <c r="U814" s="160"/>
      <c r="V814" s="165"/>
      <c r="W814" s="165"/>
      <c r="X814" s="160"/>
      <c r="Y814" s="166"/>
      <c r="Z814" s="160"/>
      <c r="AA814" s="160"/>
      <c r="AB814" s="165"/>
      <c r="AC814" s="165"/>
      <c r="AD814" s="165"/>
      <c r="AE814" s="165"/>
      <c r="AF814" s="160"/>
      <c r="AG814" s="160"/>
      <c r="AH814" s="160"/>
      <c r="AI814" s="160"/>
      <c r="AJ814" s="161"/>
      <c r="AK814" s="162"/>
      <c r="AL814" s="165"/>
      <c r="AM814" s="166"/>
      <c r="AN814" s="165"/>
      <c r="AO814" s="160"/>
      <c r="AP814" s="162"/>
      <c r="AQ814" s="161"/>
      <c r="AR814" s="162"/>
      <c r="AS814" s="161"/>
      <c r="AT814" s="165"/>
      <c r="AU814" s="166"/>
      <c r="AV814" s="165"/>
      <c r="AW814" s="166">
        <f>93.73655+81.14575</f>
        <v>174.88229999999999</v>
      </c>
      <c r="AX814" s="165">
        <f>16.33455+27.99923+24.23835</f>
        <v>68.572130000000001</v>
      </c>
      <c r="AY814" s="165"/>
      <c r="AZ814" s="165"/>
      <c r="BA814" s="165">
        <v>193.52412000000001</v>
      </c>
      <c r="BB814" s="166"/>
      <c r="BC814" s="165"/>
      <c r="BD814" s="165"/>
      <c r="BE814" s="165"/>
      <c r="BF814" s="165"/>
      <c r="BG814" s="165">
        <v>47.5</v>
      </c>
      <c r="BH814" s="165"/>
      <c r="BI814" s="165"/>
      <c r="BJ814" s="166"/>
      <c r="BK814" s="165"/>
      <c r="BL814" s="165"/>
      <c r="BM814" s="163"/>
      <c r="BN814" s="165"/>
      <c r="BO814" s="165">
        <v>1641.63581</v>
      </c>
      <c r="BP814" s="165"/>
      <c r="BQ814" s="167"/>
    </row>
    <row r="815" spans="1:69" ht="39.950000000000003" customHeight="1" outlineLevel="1" x14ac:dyDescent="0.3">
      <c r="A815" s="17" t="s">
        <v>1014</v>
      </c>
      <c r="B815" s="12" t="s">
        <v>1027</v>
      </c>
      <c r="C815" s="9" t="s">
        <v>6</v>
      </c>
      <c r="D815" s="66" t="s">
        <v>1028</v>
      </c>
      <c r="E815" s="158">
        <f t="shared" si="171"/>
        <v>7427.8652400000001</v>
      </c>
      <c r="F815" s="159">
        <f t="shared" si="172"/>
        <v>1419.58314</v>
      </c>
      <c r="G815" s="160">
        <f t="shared" si="173"/>
        <v>6008.2821000000004</v>
      </c>
      <c r="H815" s="166">
        <v>1152.7215000000001</v>
      </c>
      <c r="I815" s="165">
        <v>384.2405</v>
      </c>
      <c r="J815" s="160"/>
      <c r="K815" s="160"/>
      <c r="L815" s="166">
        <f>63.42018+75.43377+71.79367</f>
        <v>210.64762000000002</v>
      </c>
      <c r="M815" s="165">
        <f>99.39951+118.2286+112.52341</f>
        <v>330.15152</v>
      </c>
      <c r="N815" s="165"/>
      <c r="O815" s="165"/>
      <c r="P815" s="160"/>
      <c r="Q815" s="166"/>
      <c r="R815" s="165"/>
      <c r="S815" s="165"/>
      <c r="T815" s="159"/>
      <c r="U815" s="160"/>
      <c r="V815" s="165"/>
      <c r="W815" s="165"/>
      <c r="X815" s="160"/>
      <c r="Y815" s="166"/>
      <c r="Z815" s="160"/>
      <c r="AA815" s="160"/>
      <c r="AB815" s="165"/>
      <c r="AC815" s="165"/>
      <c r="AD815" s="165"/>
      <c r="AE815" s="165"/>
      <c r="AF815" s="160"/>
      <c r="AG815" s="160"/>
      <c r="AH815" s="160"/>
      <c r="AI815" s="160"/>
      <c r="AJ815" s="161"/>
      <c r="AK815" s="162"/>
      <c r="AL815" s="165"/>
      <c r="AM815" s="166"/>
      <c r="AN815" s="165"/>
      <c r="AO815" s="160"/>
      <c r="AP815" s="162"/>
      <c r="AQ815" s="161"/>
      <c r="AR815" s="162"/>
      <c r="AS815" s="161"/>
      <c r="AT815" s="165"/>
      <c r="AU815" s="166"/>
      <c r="AV815" s="165"/>
      <c r="AW815" s="166">
        <v>56.214019999999998</v>
      </c>
      <c r="AX815" s="165">
        <f>11.3158+16.79121</f>
        <v>28.107009999999999</v>
      </c>
      <c r="AY815" s="165"/>
      <c r="AZ815" s="165"/>
      <c r="BA815" s="165">
        <v>239.13593</v>
      </c>
      <c r="BB815" s="166"/>
      <c r="BC815" s="165"/>
      <c r="BD815" s="165"/>
      <c r="BE815" s="165">
        <v>132.94156000000001</v>
      </c>
      <c r="BF815" s="165">
        <v>4225.0483899999999</v>
      </c>
      <c r="BG815" s="165"/>
      <c r="BH815" s="165"/>
      <c r="BI815" s="165"/>
      <c r="BJ815" s="166"/>
      <c r="BK815" s="165"/>
      <c r="BL815" s="165"/>
      <c r="BM815" s="163"/>
      <c r="BN815" s="165"/>
      <c r="BO815" s="165">
        <v>668.65719000000001</v>
      </c>
      <c r="BP815" s="165"/>
      <c r="BQ815" s="167"/>
    </row>
    <row r="816" spans="1:69" ht="39.950000000000003" customHeight="1" outlineLevel="1" x14ac:dyDescent="0.3">
      <c r="A816" s="17" t="s">
        <v>1014</v>
      </c>
      <c r="B816" s="12" t="s">
        <v>1029</v>
      </c>
      <c r="C816" s="9" t="s">
        <v>6</v>
      </c>
      <c r="D816" s="66" t="s">
        <v>1030</v>
      </c>
      <c r="E816" s="158">
        <f t="shared" si="171"/>
        <v>14605.334139999999</v>
      </c>
      <c r="F816" s="159">
        <f t="shared" si="172"/>
        <v>4844.7009199999993</v>
      </c>
      <c r="G816" s="160">
        <f t="shared" si="173"/>
        <v>9760.6332199999997</v>
      </c>
      <c r="H816" s="166">
        <v>4420.5</v>
      </c>
      <c r="I816" s="165">
        <v>1473.5</v>
      </c>
      <c r="J816" s="160"/>
      <c r="K816" s="160"/>
      <c r="L816" s="166">
        <v>175.45757</v>
      </c>
      <c r="M816" s="165">
        <v>274.99754999999999</v>
      </c>
      <c r="N816" s="165"/>
      <c r="O816" s="165"/>
      <c r="P816" s="160"/>
      <c r="Q816" s="166"/>
      <c r="R816" s="165"/>
      <c r="S816" s="165"/>
      <c r="T816" s="159"/>
      <c r="U816" s="160"/>
      <c r="V816" s="165"/>
      <c r="W816" s="165"/>
      <c r="X816" s="160"/>
      <c r="Y816" s="166"/>
      <c r="Z816" s="160"/>
      <c r="AA816" s="160"/>
      <c r="AB816" s="165"/>
      <c r="AC816" s="165"/>
      <c r="AD816" s="165"/>
      <c r="AE816" s="165"/>
      <c r="AF816" s="160"/>
      <c r="AG816" s="160"/>
      <c r="AH816" s="160"/>
      <c r="AI816" s="160"/>
      <c r="AJ816" s="161"/>
      <c r="AK816" s="162"/>
      <c r="AL816" s="165"/>
      <c r="AM816" s="166"/>
      <c r="AN816" s="165"/>
      <c r="AO816" s="160"/>
      <c r="AP816" s="162"/>
      <c r="AQ816" s="161"/>
      <c r="AR816" s="162"/>
      <c r="AS816" s="161"/>
      <c r="AT816" s="165"/>
      <c r="AU816" s="166"/>
      <c r="AV816" s="165"/>
      <c r="AW816" s="166">
        <f>93.59302+62.22321+92.92712</f>
        <v>248.74334999999999</v>
      </c>
      <c r="AX816" s="165">
        <f>12.52547+18.70612+27.95635+18.58615+27.75744</f>
        <v>105.53153</v>
      </c>
      <c r="AY816" s="165"/>
      <c r="AZ816" s="165"/>
      <c r="BA816" s="165">
        <v>34.920279999999998</v>
      </c>
      <c r="BB816" s="166"/>
      <c r="BC816" s="165"/>
      <c r="BD816" s="165"/>
      <c r="BE816" s="165">
        <v>874.71916999999996</v>
      </c>
      <c r="BF816" s="165">
        <v>6996.9646899999998</v>
      </c>
      <c r="BG816" s="165"/>
      <c r="BH816" s="165"/>
      <c r="BI816" s="165"/>
      <c r="BJ816" s="166"/>
      <c r="BK816" s="165"/>
      <c r="BL816" s="165"/>
      <c r="BM816" s="163"/>
      <c r="BN816" s="165"/>
      <c r="BO816" s="165"/>
      <c r="BP816" s="165"/>
      <c r="BQ816" s="167"/>
    </row>
    <row r="817" spans="1:270" ht="39.950000000000003" customHeight="1" outlineLevel="1" x14ac:dyDescent="0.3">
      <c r="A817" s="15" t="s">
        <v>1014</v>
      </c>
      <c r="B817" s="14" t="s">
        <v>1031</v>
      </c>
      <c r="C817" s="9" t="s">
        <v>6</v>
      </c>
      <c r="D817" s="66" t="s">
        <v>1032</v>
      </c>
      <c r="E817" s="158">
        <f t="shared" si="171"/>
        <v>456.26406999999995</v>
      </c>
      <c r="F817" s="159">
        <f t="shared" si="172"/>
        <v>212.55180999999999</v>
      </c>
      <c r="G817" s="160">
        <f t="shared" si="173"/>
        <v>243.71225999999999</v>
      </c>
      <c r="H817" s="166">
        <v>101.96550000000001</v>
      </c>
      <c r="I817" s="165">
        <v>33.988500000000002</v>
      </c>
      <c r="J817" s="160"/>
      <c r="K817" s="160"/>
      <c r="L817" s="166">
        <v>110.58631</v>
      </c>
      <c r="M817" s="165">
        <v>173.32375999999999</v>
      </c>
      <c r="N817" s="165"/>
      <c r="O817" s="165"/>
      <c r="P817" s="160"/>
      <c r="Q817" s="166"/>
      <c r="R817" s="165"/>
      <c r="S817" s="165"/>
      <c r="T817" s="159"/>
      <c r="U817" s="160"/>
      <c r="V817" s="165"/>
      <c r="W817" s="165"/>
      <c r="X817" s="160"/>
      <c r="Y817" s="166"/>
      <c r="Z817" s="160"/>
      <c r="AA817" s="160"/>
      <c r="AB817" s="165"/>
      <c r="AC817" s="165"/>
      <c r="AD817" s="165"/>
      <c r="AE817" s="165"/>
      <c r="AF817" s="160"/>
      <c r="AG817" s="160"/>
      <c r="AH817" s="160"/>
      <c r="AI817" s="160"/>
      <c r="AJ817" s="161"/>
      <c r="AK817" s="162"/>
      <c r="AL817" s="165"/>
      <c r="AM817" s="166"/>
      <c r="AN817" s="165"/>
      <c r="AO817" s="160"/>
      <c r="AP817" s="162"/>
      <c r="AQ817" s="161"/>
      <c r="AR817" s="162"/>
      <c r="AS817" s="161"/>
      <c r="AT817" s="165"/>
      <c r="AU817" s="166"/>
      <c r="AV817" s="165"/>
      <c r="AW817" s="166"/>
      <c r="AX817" s="165"/>
      <c r="AY817" s="165"/>
      <c r="AZ817" s="165"/>
      <c r="BA817" s="165"/>
      <c r="BB817" s="166"/>
      <c r="BC817" s="165"/>
      <c r="BD817" s="165"/>
      <c r="BE817" s="165"/>
      <c r="BF817" s="165"/>
      <c r="BG817" s="165">
        <v>36.4</v>
      </c>
      <c r="BH817" s="165"/>
      <c r="BI817" s="165"/>
      <c r="BJ817" s="166"/>
      <c r="BK817" s="165"/>
      <c r="BL817" s="165"/>
      <c r="BM817" s="163"/>
      <c r="BN817" s="165"/>
      <c r="BO817" s="165"/>
      <c r="BP817" s="165"/>
      <c r="BQ817" s="167"/>
    </row>
    <row r="818" spans="1:270" ht="39.950000000000003" customHeight="1" outlineLevel="1" x14ac:dyDescent="0.3">
      <c r="A818" s="17" t="s">
        <v>1014</v>
      </c>
      <c r="B818" s="12" t="s">
        <v>1033</v>
      </c>
      <c r="C818" s="9" t="s">
        <v>6</v>
      </c>
      <c r="D818" s="66" t="s">
        <v>1034</v>
      </c>
      <c r="E818" s="158">
        <f t="shared" si="171"/>
        <v>2788.11321</v>
      </c>
      <c r="F818" s="159">
        <f t="shared" si="172"/>
        <v>1195.1415300000001</v>
      </c>
      <c r="G818" s="160">
        <f t="shared" si="173"/>
        <v>1592.9716799999999</v>
      </c>
      <c r="H818" s="166">
        <v>570.63300000000004</v>
      </c>
      <c r="I818" s="165">
        <v>190.21100000000001</v>
      </c>
      <c r="J818" s="160"/>
      <c r="K818" s="160"/>
      <c r="L818" s="166">
        <f>122.5627+467.06997</f>
        <v>589.63266999999996</v>
      </c>
      <c r="M818" s="165">
        <f>732.04652+192.09455</f>
        <v>924.14107000000001</v>
      </c>
      <c r="N818" s="165"/>
      <c r="O818" s="165"/>
      <c r="P818" s="160"/>
      <c r="Q818" s="166"/>
      <c r="R818" s="165"/>
      <c r="S818" s="165"/>
      <c r="T818" s="159"/>
      <c r="U818" s="160"/>
      <c r="V818" s="165"/>
      <c r="W818" s="165"/>
      <c r="X818" s="160"/>
      <c r="Y818" s="166"/>
      <c r="Z818" s="160"/>
      <c r="AA818" s="160"/>
      <c r="AB818" s="165"/>
      <c r="AC818" s="165"/>
      <c r="AD818" s="165"/>
      <c r="AE818" s="165"/>
      <c r="AF818" s="160"/>
      <c r="AG818" s="160"/>
      <c r="AH818" s="160"/>
      <c r="AI818" s="160"/>
      <c r="AJ818" s="161"/>
      <c r="AK818" s="162"/>
      <c r="AL818" s="165"/>
      <c r="AM818" s="166"/>
      <c r="AN818" s="165"/>
      <c r="AO818" s="160"/>
      <c r="AP818" s="162"/>
      <c r="AQ818" s="161"/>
      <c r="AR818" s="162"/>
      <c r="AS818" s="161"/>
      <c r="AT818" s="165"/>
      <c r="AU818" s="166"/>
      <c r="AV818" s="165"/>
      <c r="AW818" s="175">
        <v>34.875860000000003</v>
      </c>
      <c r="AX818" s="165">
        <f>7.02046+10.41746</f>
        <v>17.437919999999998</v>
      </c>
      <c r="AY818" s="165"/>
      <c r="AZ818" s="165"/>
      <c r="BA818" s="165"/>
      <c r="BB818" s="166"/>
      <c r="BC818" s="165"/>
      <c r="BD818" s="165"/>
      <c r="BE818" s="165">
        <v>304.75668999999999</v>
      </c>
      <c r="BF818" s="165"/>
      <c r="BG818" s="165">
        <v>156.42500000000001</v>
      </c>
      <c r="BH818" s="165"/>
      <c r="BI818" s="165"/>
      <c r="BJ818" s="166"/>
      <c r="BK818" s="165"/>
      <c r="BL818" s="165"/>
      <c r="BM818" s="163"/>
      <c r="BN818" s="165"/>
      <c r="BO818" s="165"/>
      <c r="BP818" s="165"/>
      <c r="BQ818" s="167"/>
    </row>
    <row r="819" spans="1:270" ht="39.950000000000003" customHeight="1" outlineLevel="1" x14ac:dyDescent="0.3">
      <c r="A819" s="17" t="s">
        <v>1014</v>
      </c>
      <c r="B819" s="12" t="s">
        <v>1035</v>
      </c>
      <c r="C819" s="9" t="s">
        <v>6</v>
      </c>
      <c r="D819" s="66" t="s">
        <v>1036</v>
      </c>
      <c r="E819" s="158">
        <f t="shared" si="171"/>
        <v>389.72978000000001</v>
      </c>
      <c r="F819" s="159">
        <f t="shared" si="172"/>
        <v>209.37106</v>
      </c>
      <c r="G819" s="160">
        <f t="shared" si="173"/>
        <v>180.35872000000001</v>
      </c>
      <c r="H819" s="166">
        <v>119.76824999999999</v>
      </c>
      <c r="I819" s="165">
        <v>39.922750000000001</v>
      </c>
      <c r="J819" s="160"/>
      <c r="K819" s="160"/>
      <c r="L819" s="166">
        <v>89.602810000000005</v>
      </c>
      <c r="M819" s="165">
        <v>140.43597</v>
      </c>
      <c r="N819" s="165"/>
      <c r="O819" s="165"/>
      <c r="P819" s="160"/>
      <c r="Q819" s="166"/>
      <c r="R819" s="165"/>
      <c r="S819" s="165"/>
      <c r="T819" s="159"/>
      <c r="U819" s="160"/>
      <c r="V819" s="165"/>
      <c r="W819" s="165"/>
      <c r="X819" s="160"/>
      <c r="Y819" s="166"/>
      <c r="Z819" s="160"/>
      <c r="AA819" s="160"/>
      <c r="AB819" s="165"/>
      <c r="AC819" s="165"/>
      <c r="AD819" s="165"/>
      <c r="AE819" s="165"/>
      <c r="AF819" s="160"/>
      <c r="AG819" s="160"/>
      <c r="AH819" s="160"/>
      <c r="AI819" s="160"/>
      <c r="AJ819" s="161"/>
      <c r="AK819" s="162"/>
      <c r="AL819" s="165"/>
      <c r="AM819" s="166"/>
      <c r="AN819" s="165"/>
      <c r="AO819" s="160"/>
      <c r="AP819" s="162"/>
      <c r="AQ819" s="161"/>
      <c r="AR819" s="162"/>
      <c r="AS819" s="161"/>
      <c r="AT819" s="165"/>
      <c r="AU819" s="166"/>
      <c r="AV819" s="165"/>
      <c r="AW819" s="166"/>
      <c r="AX819" s="165"/>
      <c r="AY819" s="165"/>
      <c r="AZ819" s="165"/>
      <c r="BA819" s="165"/>
      <c r="BB819" s="166"/>
      <c r="BC819" s="165"/>
      <c r="BD819" s="165"/>
      <c r="BE819" s="165"/>
      <c r="BF819" s="165"/>
      <c r="BG819" s="165"/>
      <c r="BH819" s="165"/>
      <c r="BI819" s="165"/>
      <c r="BJ819" s="166"/>
      <c r="BK819" s="165"/>
      <c r="BL819" s="165"/>
      <c r="BM819" s="163"/>
      <c r="BN819" s="165"/>
      <c r="BO819" s="165"/>
      <c r="BP819" s="165"/>
      <c r="BQ819" s="167"/>
    </row>
    <row r="820" spans="1:270" ht="39.950000000000003" customHeight="1" outlineLevel="1" x14ac:dyDescent="0.3">
      <c r="A820" s="17" t="s">
        <v>1014</v>
      </c>
      <c r="B820" s="12" t="s">
        <v>1039</v>
      </c>
      <c r="C820" s="9" t="s">
        <v>6</v>
      </c>
      <c r="D820" s="66" t="s">
        <v>1040</v>
      </c>
      <c r="E820" s="158">
        <f t="shared" si="171"/>
        <v>639.43484999999998</v>
      </c>
      <c r="F820" s="159">
        <f t="shared" si="172"/>
        <v>178.06131999999999</v>
      </c>
      <c r="G820" s="160">
        <f t="shared" si="173"/>
        <v>461.37353000000002</v>
      </c>
      <c r="H820" s="166"/>
      <c r="I820" s="165"/>
      <c r="J820" s="160"/>
      <c r="K820" s="160"/>
      <c r="L820" s="166">
        <v>178.06131999999999</v>
      </c>
      <c r="M820" s="165">
        <v>279.07846000000001</v>
      </c>
      <c r="N820" s="165"/>
      <c r="O820" s="165"/>
      <c r="P820" s="160"/>
      <c r="Q820" s="166"/>
      <c r="R820" s="165"/>
      <c r="S820" s="165"/>
      <c r="T820" s="159"/>
      <c r="U820" s="160"/>
      <c r="V820" s="165"/>
      <c r="W820" s="165"/>
      <c r="X820" s="160"/>
      <c r="Y820" s="166"/>
      <c r="Z820" s="160"/>
      <c r="AA820" s="160"/>
      <c r="AB820" s="165"/>
      <c r="AC820" s="165"/>
      <c r="AD820" s="165"/>
      <c r="AE820" s="165"/>
      <c r="AF820" s="160"/>
      <c r="AG820" s="160"/>
      <c r="AH820" s="160"/>
      <c r="AI820" s="160"/>
      <c r="AJ820" s="161"/>
      <c r="AK820" s="162"/>
      <c r="AL820" s="165"/>
      <c r="AM820" s="166"/>
      <c r="AN820" s="165"/>
      <c r="AO820" s="160"/>
      <c r="AP820" s="162"/>
      <c r="AQ820" s="161"/>
      <c r="AR820" s="162"/>
      <c r="AS820" s="161"/>
      <c r="AT820" s="165"/>
      <c r="AU820" s="166"/>
      <c r="AV820" s="165"/>
      <c r="AW820" s="166"/>
      <c r="AX820" s="165"/>
      <c r="AY820" s="165"/>
      <c r="AZ820" s="165"/>
      <c r="BA820" s="165"/>
      <c r="BB820" s="166"/>
      <c r="BC820" s="165"/>
      <c r="BD820" s="165"/>
      <c r="BE820" s="165">
        <v>144.59506999999999</v>
      </c>
      <c r="BF820" s="165"/>
      <c r="BG820" s="165">
        <v>37.700000000000003</v>
      </c>
      <c r="BH820" s="165"/>
      <c r="BI820" s="165"/>
      <c r="BJ820" s="166"/>
      <c r="BK820" s="165"/>
      <c r="BL820" s="165"/>
      <c r="BM820" s="163"/>
      <c r="BN820" s="165"/>
      <c r="BO820" s="165"/>
      <c r="BP820" s="165"/>
      <c r="BQ820" s="167"/>
    </row>
    <row r="821" spans="1:270" ht="39.950000000000003" customHeight="1" outlineLevel="1" x14ac:dyDescent="0.3">
      <c r="A821" s="17" t="s">
        <v>1014</v>
      </c>
      <c r="B821" s="12" t="s">
        <v>1037</v>
      </c>
      <c r="C821" s="9" t="s">
        <v>6</v>
      </c>
      <c r="D821" s="66" t="s">
        <v>1038</v>
      </c>
      <c r="E821" s="158">
        <f t="shared" si="171"/>
        <v>284.30696999999998</v>
      </c>
      <c r="F821" s="159">
        <f t="shared" si="172"/>
        <v>145.27387999999999</v>
      </c>
      <c r="G821" s="160">
        <f t="shared" si="173"/>
        <v>139.03308999999999</v>
      </c>
      <c r="H821" s="166">
        <v>71.846249999999998</v>
      </c>
      <c r="I821" s="165">
        <v>23.94875</v>
      </c>
      <c r="J821" s="160"/>
      <c r="K821" s="160"/>
      <c r="L821" s="166">
        <v>73.427629999999994</v>
      </c>
      <c r="M821" s="165">
        <v>115.08434</v>
      </c>
      <c r="N821" s="165"/>
      <c r="O821" s="165"/>
      <c r="P821" s="160"/>
      <c r="Q821" s="166"/>
      <c r="R821" s="165"/>
      <c r="S821" s="165"/>
      <c r="T821" s="159"/>
      <c r="U821" s="160"/>
      <c r="V821" s="165"/>
      <c r="W821" s="165"/>
      <c r="X821" s="160"/>
      <c r="Y821" s="166"/>
      <c r="Z821" s="160"/>
      <c r="AA821" s="160"/>
      <c r="AB821" s="165"/>
      <c r="AC821" s="165"/>
      <c r="AD821" s="165"/>
      <c r="AE821" s="165"/>
      <c r="AF821" s="160"/>
      <c r="AG821" s="160"/>
      <c r="AH821" s="160"/>
      <c r="AI821" s="160"/>
      <c r="AJ821" s="161"/>
      <c r="AK821" s="162"/>
      <c r="AL821" s="165"/>
      <c r="AM821" s="166"/>
      <c r="AN821" s="165"/>
      <c r="AO821" s="160"/>
      <c r="AP821" s="162"/>
      <c r="AQ821" s="161"/>
      <c r="AR821" s="162"/>
      <c r="AS821" s="161"/>
      <c r="AT821" s="165"/>
      <c r="AU821" s="166"/>
      <c r="AV821" s="165"/>
      <c r="AW821" s="166"/>
      <c r="AX821" s="165"/>
      <c r="AY821" s="165"/>
      <c r="AZ821" s="165"/>
      <c r="BA821" s="165"/>
      <c r="BB821" s="166"/>
      <c r="BC821" s="165"/>
      <c r="BD821" s="165"/>
      <c r="BE821" s="165"/>
      <c r="BF821" s="165"/>
      <c r="BG821" s="165"/>
      <c r="BH821" s="165"/>
      <c r="BI821" s="165"/>
      <c r="BJ821" s="166"/>
      <c r="BK821" s="165"/>
      <c r="BL821" s="165"/>
      <c r="BM821" s="163"/>
      <c r="BN821" s="165"/>
      <c r="BO821" s="165"/>
      <c r="BP821" s="165"/>
      <c r="BQ821" s="167"/>
    </row>
    <row r="822" spans="1:270" s="34" customFormat="1" ht="39.950000000000003" customHeight="1" x14ac:dyDescent="0.3">
      <c r="A822" s="118" t="s">
        <v>1053</v>
      </c>
      <c r="B822" s="119"/>
      <c r="C822" s="116" t="s">
        <v>80</v>
      </c>
      <c r="D822" s="117"/>
      <c r="E822" s="173">
        <f t="shared" ref="E822:AI822" si="174">SUBTOTAL(9,E795:E821)</f>
        <v>62881.888659999997</v>
      </c>
      <c r="F822" s="173">
        <f t="shared" si="174"/>
        <v>15454.046930000002</v>
      </c>
      <c r="G822" s="173">
        <f t="shared" si="174"/>
        <v>47427.841729999993</v>
      </c>
      <c r="H822" s="173">
        <f t="shared" si="174"/>
        <v>9328.5096599999997</v>
      </c>
      <c r="I822" s="173">
        <f t="shared" si="174"/>
        <v>3109.50324</v>
      </c>
      <c r="J822" s="173">
        <f t="shared" si="174"/>
        <v>96</v>
      </c>
      <c r="K822" s="173">
        <f t="shared" si="174"/>
        <v>0</v>
      </c>
      <c r="L822" s="173">
        <f t="shared" si="174"/>
        <v>3870.0398500000001</v>
      </c>
      <c r="M822" s="173">
        <f t="shared" si="174"/>
        <v>6065.57762</v>
      </c>
      <c r="N822" s="173">
        <f t="shared" si="174"/>
        <v>0</v>
      </c>
      <c r="O822" s="173">
        <f>SUBTOTAL(9,O795:O821)</f>
        <v>0</v>
      </c>
      <c r="P822" s="173">
        <f>SUBTOTAL(9,P795:P821)</f>
        <v>0</v>
      </c>
      <c r="Q822" s="173">
        <f t="shared" si="174"/>
        <v>0</v>
      </c>
      <c r="R822" s="173">
        <f t="shared" si="174"/>
        <v>0</v>
      </c>
      <c r="S822" s="173">
        <f t="shared" si="174"/>
        <v>0</v>
      </c>
      <c r="T822" s="173">
        <f>SUBTOTAL(9,T795:T821)</f>
        <v>0</v>
      </c>
      <c r="U822" s="173">
        <f>SUBTOTAL(9,U795:U821)</f>
        <v>0</v>
      </c>
      <c r="V822" s="173">
        <f t="shared" si="174"/>
        <v>0</v>
      </c>
      <c r="W822" s="173">
        <f t="shared" si="174"/>
        <v>0</v>
      </c>
      <c r="X822" s="173">
        <f>SUBTOTAL(9,X795:X821)</f>
        <v>0</v>
      </c>
      <c r="Y822" s="173">
        <f t="shared" si="174"/>
        <v>984.12</v>
      </c>
      <c r="Z822" s="173">
        <f t="shared" si="174"/>
        <v>328.04</v>
      </c>
      <c r="AA822" s="173">
        <f t="shared" si="174"/>
        <v>4423.2814200000003</v>
      </c>
      <c r="AB822" s="173">
        <f t="shared" si="174"/>
        <v>0</v>
      </c>
      <c r="AC822" s="173">
        <f t="shared" si="174"/>
        <v>0</v>
      </c>
      <c r="AD822" s="173">
        <f>SUBTOTAL(9,AD795:AD821)</f>
        <v>0</v>
      </c>
      <c r="AE822" s="173">
        <f t="shared" si="174"/>
        <v>0</v>
      </c>
      <c r="AF822" s="173">
        <f t="shared" si="174"/>
        <v>0</v>
      </c>
      <c r="AG822" s="173">
        <f t="shared" si="174"/>
        <v>0</v>
      </c>
      <c r="AH822" s="173">
        <f t="shared" si="174"/>
        <v>0</v>
      </c>
      <c r="AI822" s="173">
        <f t="shared" si="174"/>
        <v>170.13242</v>
      </c>
      <c r="AJ822" s="173">
        <f t="shared" ref="AJ822:BQ822" si="175">SUBTOTAL(9,AJ795:AJ821)</f>
        <v>0</v>
      </c>
      <c r="AK822" s="173">
        <f t="shared" si="175"/>
        <v>0</v>
      </c>
      <c r="AL822" s="173">
        <f t="shared" si="175"/>
        <v>0</v>
      </c>
      <c r="AM822" s="173">
        <f>SUBTOTAL(9,AM795:AM821)</f>
        <v>0</v>
      </c>
      <c r="AN822" s="173">
        <f>SUBTOTAL(9,AN795:AN821)</f>
        <v>0</v>
      </c>
      <c r="AO822" s="173">
        <f>SUBTOTAL(9,AO795:AO821)</f>
        <v>0</v>
      </c>
      <c r="AP822" s="173">
        <f t="shared" si="175"/>
        <v>0</v>
      </c>
      <c r="AQ822" s="173">
        <f t="shared" si="175"/>
        <v>0</v>
      </c>
      <c r="AR822" s="173">
        <f t="shared" si="175"/>
        <v>0</v>
      </c>
      <c r="AS822" s="173">
        <f t="shared" si="175"/>
        <v>0</v>
      </c>
      <c r="AT822" s="173">
        <f>SUBTOTAL(9,AT795:AT821)</f>
        <v>0</v>
      </c>
      <c r="AU822" s="173">
        <f t="shared" si="175"/>
        <v>0</v>
      </c>
      <c r="AV822" s="173">
        <f t="shared" si="175"/>
        <v>0</v>
      </c>
      <c r="AW822" s="173">
        <f t="shared" si="175"/>
        <v>1271.37742</v>
      </c>
      <c r="AX822" s="173">
        <f t="shared" si="175"/>
        <v>452.66202000000004</v>
      </c>
      <c r="AY822" s="173">
        <f t="shared" si="175"/>
        <v>0</v>
      </c>
      <c r="AZ822" s="173">
        <f t="shared" si="175"/>
        <v>0</v>
      </c>
      <c r="BA822" s="173">
        <f t="shared" si="175"/>
        <v>492.36606999999998</v>
      </c>
      <c r="BB822" s="173">
        <f t="shared" si="175"/>
        <v>0</v>
      </c>
      <c r="BC822" s="173">
        <f t="shared" si="175"/>
        <v>0</v>
      </c>
      <c r="BD822" s="173">
        <f t="shared" si="175"/>
        <v>0</v>
      </c>
      <c r="BE822" s="173">
        <f t="shared" si="175"/>
        <v>1745.5643599999999</v>
      </c>
      <c r="BF822" s="173">
        <f t="shared" si="175"/>
        <v>12870.78745</v>
      </c>
      <c r="BG822" s="173">
        <f t="shared" si="175"/>
        <v>713.06013000000007</v>
      </c>
      <c r="BH822" s="173">
        <f t="shared" si="175"/>
        <v>12826.1</v>
      </c>
      <c r="BI822" s="173">
        <f t="shared" si="175"/>
        <v>1031.6400000000001</v>
      </c>
      <c r="BJ822" s="173">
        <f t="shared" si="175"/>
        <v>0</v>
      </c>
      <c r="BK822" s="173">
        <f t="shared" si="175"/>
        <v>0</v>
      </c>
      <c r="BL822" s="173">
        <f t="shared" si="175"/>
        <v>0</v>
      </c>
      <c r="BM822" s="174">
        <f>SUBTOTAL(9,BM795:BM821)</f>
        <v>0</v>
      </c>
      <c r="BN822" s="173">
        <f t="shared" si="175"/>
        <v>0</v>
      </c>
      <c r="BO822" s="173">
        <f t="shared" si="175"/>
        <v>3103.127</v>
      </c>
      <c r="BP822" s="173">
        <f t="shared" si="175"/>
        <v>0</v>
      </c>
      <c r="BQ822" s="174">
        <f t="shared" si="175"/>
        <v>0</v>
      </c>
      <c r="BR822" s="40"/>
      <c r="BS822" s="40"/>
      <c r="BT822" s="40"/>
      <c r="BU822" s="40"/>
      <c r="BV822" s="40"/>
      <c r="BW822" s="40"/>
      <c r="BX822" s="40"/>
      <c r="BY822" s="40"/>
      <c r="BZ822" s="40"/>
      <c r="CA822" s="40"/>
      <c r="CB822" s="40"/>
      <c r="CC822" s="40"/>
      <c r="CD822" s="40"/>
      <c r="CE822" s="40"/>
      <c r="CF822" s="40"/>
      <c r="CG822" s="40"/>
      <c r="CH822" s="40"/>
      <c r="CI822" s="40"/>
      <c r="CJ822" s="40"/>
      <c r="CK822" s="40"/>
      <c r="CL822" s="40"/>
      <c r="CM822" s="40"/>
      <c r="CN822" s="40"/>
      <c r="CO822" s="40"/>
      <c r="CP822" s="40"/>
      <c r="CQ822" s="40"/>
      <c r="CR822" s="40"/>
      <c r="CS822" s="40"/>
      <c r="CT822" s="40"/>
      <c r="CU822" s="40"/>
      <c r="CV822" s="40"/>
      <c r="CW822" s="40"/>
      <c r="CX822" s="40"/>
      <c r="CY822" s="40"/>
      <c r="CZ822" s="40"/>
      <c r="DA822" s="40"/>
      <c r="DB822" s="40"/>
      <c r="DC822" s="40"/>
      <c r="DD822" s="40"/>
      <c r="DE822" s="40"/>
      <c r="DF822" s="40"/>
      <c r="DG822" s="40"/>
      <c r="DH822" s="40"/>
      <c r="DI822" s="40"/>
      <c r="DJ822" s="40"/>
      <c r="DK822" s="40"/>
      <c r="DL822" s="40"/>
      <c r="DM822" s="40"/>
      <c r="DN822" s="40"/>
      <c r="DO822" s="40"/>
      <c r="DP822" s="40"/>
      <c r="DQ822" s="40"/>
      <c r="DR822" s="40"/>
      <c r="DS822" s="40"/>
      <c r="DT822" s="40"/>
      <c r="DU822" s="40"/>
      <c r="DV822" s="40"/>
      <c r="DW822" s="40"/>
      <c r="DX822" s="40"/>
      <c r="DY822" s="40"/>
      <c r="DZ822" s="40"/>
      <c r="EA822" s="40"/>
      <c r="EB822" s="40"/>
      <c r="EC822" s="40"/>
      <c r="ED822" s="40"/>
      <c r="EE822" s="40"/>
      <c r="EF822" s="40"/>
      <c r="EG822" s="40"/>
      <c r="EH822" s="40"/>
      <c r="EI822" s="40"/>
      <c r="EJ822" s="40"/>
      <c r="EK822" s="40"/>
      <c r="EL822" s="40"/>
      <c r="EM822" s="40"/>
      <c r="EN822" s="40"/>
      <c r="EO822" s="40"/>
      <c r="EP822" s="40"/>
      <c r="EQ822" s="40"/>
      <c r="ER822" s="40"/>
      <c r="ES822" s="40"/>
      <c r="ET822" s="40"/>
      <c r="EU822" s="40"/>
      <c r="EV822" s="40"/>
      <c r="EW822" s="40"/>
      <c r="EX822" s="40"/>
      <c r="EY822" s="40"/>
      <c r="EZ822" s="40"/>
      <c r="FA822" s="40"/>
      <c r="FB822" s="40"/>
      <c r="FC822" s="40"/>
      <c r="FD822" s="40"/>
      <c r="FE822" s="40"/>
      <c r="FF822" s="40"/>
      <c r="FG822" s="40"/>
      <c r="FH822" s="40"/>
      <c r="FI822" s="40"/>
      <c r="FJ822" s="40"/>
      <c r="FK822" s="40"/>
      <c r="FL822" s="40"/>
      <c r="FM822" s="40"/>
      <c r="FN822" s="40"/>
      <c r="FO822" s="40"/>
      <c r="FP822" s="40"/>
      <c r="FQ822" s="40"/>
      <c r="FR822" s="40"/>
      <c r="FS822" s="40"/>
      <c r="FT822" s="40"/>
      <c r="FU822" s="40"/>
      <c r="FV822" s="40"/>
      <c r="FW822" s="40"/>
      <c r="FX822" s="40"/>
      <c r="FY822" s="40"/>
      <c r="FZ822" s="40"/>
      <c r="GA822" s="40"/>
      <c r="GB822" s="40"/>
      <c r="GC822" s="40"/>
      <c r="GD822" s="40"/>
      <c r="GE822" s="40"/>
      <c r="GF822" s="40"/>
      <c r="GG822" s="40"/>
      <c r="GH822" s="40"/>
      <c r="GI822" s="40"/>
      <c r="GJ822" s="40"/>
      <c r="GK822" s="40"/>
      <c r="GL822" s="40"/>
      <c r="GM822" s="40"/>
      <c r="GN822" s="40"/>
      <c r="GO822" s="40"/>
      <c r="GP822" s="40"/>
      <c r="GQ822" s="40"/>
      <c r="GR822" s="40"/>
      <c r="GS822" s="40"/>
      <c r="GT822" s="40"/>
      <c r="GU822" s="40"/>
      <c r="GV822" s="40"/>
      <c r="GW822" s="40"/>
      <c r="GX822" s="40"/>
      <c r="GY822" s="40"/>
      <c r="GZ822" s="40"/>
      <c r="HA822" s="40"/>
      <c r="HB822" s="40"/>
      <c r="HC822" s="40"/>
      <c r="HD822" s="40"/>
      <c r="HE822" s="40"/>
      <c r="HF822" s="40"/>
      <c r="HG822" s="40"/>
      <c r="HH822" s="40"/>
      <c r="HI822" s="40"/>
      <c r="HJ822" s="40"/>
      <c r="HK822" s="40"/>
      <c r="HL822" s="40"/>
      <c r="HM822" s="40"/>
      <c r="HN822" s="40"/>
      <c r="HO822" s="40"/>
      <c r="HP822" s="40"/>
      <c r="HQ822" s="40"/>
      <c r="HR822" s="40"/>
      <c r="HS822" s="40"/>
      <c r="HT822" s="40"/>
      <c r="HU822" s="40"/>
      <c r="HV822" s="40"/>
      <c r="HW822" s="40"/>
      <c r="HX822" s="40"/>
      <c r="HY822" s="40"/>
      <c r="HZ822" s="40"/>
      <c r="IA822" s="40"/>
      <c r="IB822" s="40"/>
      <c r="IC822" s="40"/>
      <c r="ID822" s="40"/>
      <c r="IE822" s="40"/>
      <c r="IF822" s="40"/>
      <c r="IG822" s="40"/>
      <c r="IH822" s="40"/>
      <c r="II822" s="40"/>
      <c r="IJ822" s="40"/>
      <c r="IK822" s="40"/>
      <c r="IL822" s="40"/>
      <c r="IM822" s="40"/>
      <c r="IN822" s="40"/>
      <c r="IO822" s="40"/>
      <c r="IP822" s="40"/>
      <c r="IQ822" s="40"/>
      <c r="IR822" s="40"/>
      <c r="IS822" s="40"/>
      <c r="IT822" s="40"/>
      <c r="IU822" s="40"/>
      <c r="IV822" s="40"/>
      <c r="IW822" s="40"/>
      <c r="IX822" s="40"/>
      <c r="IY822" s="40"/>
      <c r="IZ822" s="40"/>
      <c r="JA822" s="40"/>
      <c r="JB822" s="40"/>
      <c r="JC822" s="40"/>
      <c r="JD822" s="40"/>
      <c r="JE822" s="40"/>
      <c r="JF822" s="40"/>
      <c r="JG822" s="40"/>
      <c r="JH822" s="40"/>
      <c r="JI822" s="40"/>
      <c r="JJ822" s="40"/>
    </row>
    <row r="823" spans="1:270" ht="39.950000000000003" customHeight="1" outlineLevel="1" x14ac:dyDescent="0.3">
      <c r="A823" s="17" t="s">
        <v>1054</v>
      </c>
      <c r="B823" s="14" t="s">
        <v>1065</v>
      </c>
      <c r="C823" s="9" t="s">
        <v>28</v>
      </c>
      <c r="D823" s="66" t="s">
        <v>1066</v>
      </c>
      <c r="E823" s="158">
        <f t="shared" ref="E823:E838" si="176">F823+G823</f>
        <v>283.25988999999998</v>
      </c>
      <c r="F823" s="159">
        <f t="shared" ref="F823:F838" si="177">H823+L823+Q823+Y823+T823+AK823+AP823+AM823+AR823+AU823+AW823+BB823+BJ823</f>
        <v>48.421140000000001</v>
      </c>
      <c r="G823" s="160">
        <f t="shared" ref="G823:G838" si="178">I823+J823+K823+M823+N823+R823+S823+V823+W823+AD823+O823+X823+Z823+AA823+AB823+AC823+AE823+AF823+P823+U823+AG823+AH823+AI823+AO823+AJ823+AL823+AQ823+AN823+AS823+AV823+AX823+AY823+AZ823+BA823+BC823+BD823+BE823+BF823+BG823+BH823+BI823+AT823+BK823+BL823+BN823+BO823+BP823+BQ823+BM823</f>
        <v>234.83875</v>
      </c>
      <c r="H823" s="166"/>
      <c r="I823" s="165"/>
      <c r="J823" s="160"/>
      <c r="K823" s="160"/>
      <c r="L823" s="166">
        <v>4.5024600000000001</v>
      </c>
      <c r="M823" s="165">
        <v>7.0567900000000003</v>
      </c>
      <c r="N823" s="165"/>
      <c r="O823" s="165"/>
      <c r="P823" s="160"/>
      <c r="Q823" s="166"/>
      <c r="R823" s="165"/>
      <c r="S823" s="165"/>
      <c r="T823" s="159"/>
      <c r="U823" s="160"/>
      <c r="V823" s="165"/>
      <c r="W823" s="165"/>
      <c r="X823" s="160"/>
      <c r="Y823" s="166">
        <v>43.918680000000002</v>
      </c>
      <c r="Z823" s="160">
        <v>14.639559999999999</v>
      </c>
      <c r="AA823" s="160">
        <v>213.14240000000001</v>
      </c>
      <c r="AB823" s="165"/>
      <c r="AC823" s="165"/>
      <c r="AD823" s="165"/>
      <c r="AE823" s="165"/>
      <c r="AF823" s="160"/>
      <c r="AG823" s="160"/>
      <c r="AH823" s="160"/>
      <c r="AI823" s="160"/>
      <c r="AJ823" s="161"/>
      <c r="AK823" s="162"/>
      <c r="AL823" s="165"/>
      <c r="AM823" s="166"/>
      <c r="AN823" s="165"/>
      <c r="AO823" s="160"/>
      <c r="AP823" s="162"/>
      <c r="AQ823" s="161"/>
      <c r="AR823" s="162"/>
      <c r="AS823" s="161"/>
      <c r="AT823" s="165"/>
      <c r="AU823" s="166"/>
      <c r="AV823" s="165"/>
      <c r="AW823" s="166"/>
      <c r="AX823" s="165"/>
      <c r="AY823" s="165"/>
      <c r="AZ823" s="165"/>
      <c r="BA823" s="165"/>
      <c r="BB823" s="166"/>
      <c r="BC823" s="165"/>
      <c r="BD823" s="165"/>
      <c r="BE823" s="165"/>
      <c r="BF823" s="165"/>
      <c r="BG823" s="165"/>
      <c r="BH823" s="165"/>
      <c r="BI823" s="165"/>
      <c r="BJ823" s="166"/>
      <c r="BK823" s="165"/>
      <c r="BL823" s="165"/>
      <c r="BM823" s="163"/>
      <c r="BN823" s="165"/>
      <c r="BO823" s="165"/>
      <c r="BP823" s="165"/>
      <c r="BQ823" s="167"/>
    </row>
    <row r="824" spans="1:270" ht="39.950000000000003" customHeight="1" outlineLevel="1" x14ac:dyDescent="0.3">
      <c r="A824" s="17" t="s">
        <v>1054</v>
      </c>
      <c r="B824" s="14" t="s">
        <v>1067</v>
      </c>
      <c r="C824" s="9" t="s">
        <v>28</v>
      </c>
      <c r="D824" s="66" t="s">
        <v>1068</v>
      </c>
      <c r="E824" s="158">
        <f t="shared" si="176"/>
        <v>12161.780430000001</v>
      </c>
      <c r="F824" s="159">
        <f t="shared" si="177"/>
        <v>2237.4502300000004</v>
      </c>
      <c r="G824" s="160">
        <f t="shared" si="178"/>
        <v>9924.3302000000003</v>
      </c>
      <c r="H824" s="166">
        <v>1500.56025</v>
      </c>
      <c r="I824" s="165">
        <v>500.18675000000002</v>
      </c>
      <c r="J824" s="160"/>
      <c r="K824" s="160"/>
      <c r="L824" s="166">
        <v>677.57093999999995</v>
      </c>
      <c r="M824" s="165">
        <v>1061.9681700000001</v>
      </c>
      <c r="N824" s="165"/>
      <c r="O824" s="165"/>
      <c r="P824" s="160"/>
      <c r="Q824" s="166"/>
      <c r="R824" s="165"/>
      <c r="S824" s="165"/>
      <c r="T824" s="159"/>
      <c r="U824" s="160"/>
      <c r="V824" s="165"/>
      <c r="W824" s="165"/>
      <c r="X824" s="160"/>
      <c r="Y824" s="166">
        <v>48.495959999999997</v>
      </c>
      <c r="Z824" s="160">
        <v>16.165320000000001</v>
      </c>
      <c r="AA824" s="160">
        <v>221.29023000000001</v>
      </c>
      <c r="AB824" s="165"/>
      <c r="AC824" s="165"/>
      <c r="AD824" s="165"/>
      <c r="AE824" s="165"/>
      <c r="AF824" s="160"/>
      <c r="AG824" s="160"/>
      <c r="AH824" s="160"/>
      <c r="AI824" s="160"/>
      <c r="AJ824" s="161"/>
      <c r="AK824" s="162"/>
      <c r="AL824" s="165"/>
      <c r="AM824" s="166"/>
      <c r="AN824" s="165"/>
      <c r="AO824" s="160"/>
      <c r="AP824" s="162"/>
      <c r="AQ824" s="161"/>
      <c r="AR824" s="162"/>
      <c r="AS824" s="161"/>
      <c r="AT824" s="165"/>
      <c r="AU824" s="166"/>
      <c r="AV824" s="165"/>
      <c r="AW824" s="166">
        <v>10.823079999999999</v>
      </c>
      <c r="AX824" s="165">
        <f>2.17866+3.23287</f>
        <v>5.41153</v>
      </c>
      <c r="AY824" s="165"/>
      <c r="AZ824" s="165"/>
      <c r="BA824" s="165">
        <v>5.5022799999999998</v>
      </c>
      <c r="BB824" s="166"/>
      <c r="BC824" s="165"/>
      <c r="BD824" s="165"/>
      <c r="BE824" s="165">
        <v>44.476939999999999</v>
      </c>
      <c r="BF824" s="165">
        <v>2069.3289799999998</v>
      </c>
      <c r="BG824" s="165"/>
      <c r="BH824" s="165">
        <v>6000</v>
      </c>
      <c r="BI824" s="165"/>
      <c r="BJ824" s="166"/>
      <c r="BK824" s="165"/>
      <c r="BL824" s="165"/>
      <c r="BM824" s="163"/>
      <c r="BN824" s="165"/>
      <c r="BO824" s="165"/>
      <c r="BP824" s="165"/>
      <c r="BQ824" s="167"/>
    </row>
    <row r="825" spans="1:270" ht="39.950000000000003" customHeight="1" outlineLevel="1" x14ac:dyDescent="0.3">
      <c r="A825" s="17" t="s">
        <v>1054</v>
      </c>
      <c r="B825" s="14" t="s">
        <v>1069</v>
      </c>
      <c r="C825" s="9" t="s">
        <v>28</v>
      </c>
      <c r="D825" s="66" t="s">
        <v>1070</v>
      </c>
      <c r="E825" s="158">
        <f t="shared" si="176"/>
        <v>1894.5038500000001</v>
      </c>
      <c r="F825" s="159">
        <f t="shared" si="177"/>
        <v>1021.79078</v>
      </c>
      <c r="G825" s="160">
        <f t="shared" si="178"/>
        <v>872.7130699999999</v>
      </c>
      <c r="H825" s="166">
        <v>590.57249999999999</v>
      </c>
      <c r="I825" s="165">
        <v>196.85749999999999</v>
      </c>
      <c r="J825" s="160"/>
      <c r="K825" s="160"/>
      <c r="L825" s="166">
        <v>431.21827999999999</v>
      </c>
      <c r="M825" s="165">
        <v>675.85556999999994</v>
      </c>
      <c r="N825" s="165"/>
      <c r="O825" s="165"/>
      <c r="P825" s="160"/>
      <c r="Q825" s="166"/>
      <c r="R825" s="165"/>
      <c r="S825" s="165"/>
      <c r="T825" s="159"/>
      <c r="U825" s="160"/>
      <c r="V825" s="165"/>
      <c r="W825" s="165"/>
      <c r="X825" s="160"/>
      <c r="Y825" s="166"/>
      <c r="Z825" s="160"/>
      <c r="AA825" s="160"/>
      <c r="AB825" s="165"/>
      <c r="AC825" s="165"/>
      <c r="AD825" s="165"/>
      <c r="AE825" s="165"/>
      <c r="AF825" s="160"/>
      <c r="AG825" s="160"/>
      <c r="AH825" s="160"/>
      <c r="AI825" s="160"/>
      <c r="AJ825" s="161"/>
      <c r="AK825" s="162"/>
      <c r="AL825" s="165"/>
      <c r="AM825" s="166"/>
      <c r="AN825" s="165"/>
      <c r="AO825" s="160"/>
      <c r="AP825" s="162"/>
      <c r="AQ825" s="161"/>
      <c r="AR825" s="162"/>
      <c r="AS825" s="161"/>
      <c r="AT825" s="165"/>
      <c r="AU825" s="166"/>
      <c r="AV825" s="165"/>
      <c r="AW825" s="166"/>
      <c r="AX825" s="165"/>
      <c r="AY825" s="165"/>
      <c r="AZ825" s="165"/>
      <c r="BA825" s="165"/>
      <c r="BB825" s="166"/>
      <c r="BC825" s="165"/>
      <c r="BD825" s="165"/>
      <c r="BE825" s="165"/>
      <c r="BF825" s="165"/>
      <c r="BG825" s="165"/>
      <c r="BH825" s="165"/>
      <c r="BI825" s="165"/>
      <c r="BJ825" s="166"/>
      <c r="BK825" s="165"/>
      <c r="BL825" s="165"/>
      <c r="BM825" s="163"/>
      <c r="BN825" s="165"/>
      <c r="BO825" s="165"/>
      <c r="BP825" s="165"/>
      <c r="BQ825" s="167"/>
    </row>
    <row r="826" spans="1:270" ht="39.950000000000003" customHeight="1" outlineLevel="1" x14ac:dyDescent="0.3">
      <c r="A826" s="17" t="s">
        <v>1054</v>
      </c>
      <c r="B826" s="14" t="s">
        <v>1064</v>
      </c>
      <c r="C826" s="9" t="s">
        <v>30</v>
      </c>
      <c r="D826" s="66">
        <v>240402477669</v>
      </c>
      <c r="E826" s="158">
        <f t="shared" si="176"/>
        <v>182.97214</v>
      </c>
      <c r="F826" s="159">
        <f t="shared" si="177"/>
        <v>0</v>
      </c>
      <c r="G826" s="160">
        <f t="shared" si="178"/>
        <v>182.97214</v>
      </c>
      <c r="H826" s="166"/>
      <c r="I826" s="165"/>
      <c r="J826" s="160"/>
      <c r="K826" s="160"/>
      <c r="L826" s="166"/>
      <c r="M826" s="165"/>
      <c r="N826" s="165"/>
      <c r="O826" s="165"/>
      <c r="P826" s="160"/>
      <c r="Q826" s="166"/>
      <c r="R826" s="165"/>
      <c r="S826" s="165"/>
      <c r="T826" s="159"/>
      <c r="U826" s="160"/>
      <c r="V826" s="165"/>
      <c r="W826" s="165"/>
      <c r="X826" s="160"/>
      <c r="Y826" s="166"/>
      <c r="Z826" s="160"/>
      <c r="AA826" s="160"/>
      <c r="AB826" s="165"/>
      <c r="AC826" s="165"/>
      <c r="AD826" s="165"/>
      <c r="AE826" s="165"/>
      <c r="AF826" s="160"/>
      <c r="AG826" s="160"/>
      <c r="AH826" s="160"/>
      <c r="AI826" s="160"/>
      <c r="AJ826" s="161"/>
      <c r="AK826" s="162"/>
      <c r="AL826" s="165"/>
      <c r="AM826" s="166"/>
      <c r="AN826" s="165"/>
      <c r="AO826" s="160"/>
      <c r="AP826" s="162"/>
      <c r="AQ826" s="161"/>
      <c r="AR826" s="162"/>
      <c r="AS826" s="161"/>
      <c r="AT826" s="165"/>
      <c r="AU826" s="166"/>
      <c r="AV826" s="165"/>
      <c r="AW826" s="166"/>
      <c r="AX826" s="165"/>
      <c r="AY826" s="165"/>
      <c r="AZ826" s="165"/>
      <c r="BA826" s="165"/>
      <c r="BB826" s="166"/>
      <c r="BC826" s="165"/>
      <c r="BD826" s="165"/>
      <c r="BE826" s="165">
        <v>182.97214</v>
      </c>
      <c r="BF826" s="165"/>
      <c r="BG826" s="165"/>
      <c r="BH826" s="165"/>
      <c r="BI826" s="165"/>
      <c r="BJ826" s="166"/>
      <c r="BK826" s="165"/>
      <c r="BL826" s="165"/>
      <c r="BM826" s="163"/>
      <c r="BN826" s="165"/>
      <c r="BO826" s="165"/>
      <c r="BP826" s="165"/>
      <c r="BQ826" s="167"/>
    </row>
    <row r="827" spans="1:270" ht="39.950000000000003" customHeight="1" outlineLevel="1" x14ac:dyDescent="0.3">
      <c r="A827" s="17" t="s">
        <v>1054</v>
      </c>
      <c r="B827" s="14" t="s">
        <v>1357</v>
      </c>
      <c r="C827" s="9" t="s">
        <v>30</v>
      </c>
      <c r="D827" s="66" t="s">
        <v>1071</v>
      </c>
      <c r="E827" s="158">
        <f t="shared" si="176"/>
        <v>990.82494999999994</v>
      </c>
      <c r="F827" s="159">
        <f t="shared" si="177"/>
        <v>146.33232000000001</v>
      </c>
      <c r="G827" s="160">
        <f t="shared" si="178"/>
        <v>844.49262999999996</v>
      </c>
      <c r="H827" s="166"/>
      <c r="I827" s="165"/>
      <c r="J827" s="160"/>
      <c r="K827" s="160"/>
      <c r="L827" s="166"/>
      <c r="M827" s="165"/>
      <c r="N827" s="165"/>
      <c r="O827" s="165"/>
      <c r="P827" s="160"/>
      <c r="Q827" s="166"/>
      <c r="R827" s="165"/>
      <c r="S827" s="165"/>
      <c r="T827" s="159"/>
      <c r="U827" s="160"/>
      <c r="V827" s="165"/>
      <c r="W827" s="165"/>
      <c r="X827" s="160"/>
      <c r="Y827" s="166">
        <v>146.33232000000001</v>
      </c>
      <c r="Z827" s="160">
        <v>48.777439999999999</v>
      </c>
      <c r="AA827" s="160">
        <v>795.71519000000001</v>
      </c>
      <c r="AB827" s="165"/>
      <c r="AC827" s="165"/>
      <c r="AD827" s="165"/>
      <c r="AE827" s="165"/>
      <c r="AF827" s="160"/>
      <c r="AG827" s="160"/>
      <c r="AH827" s="160"/>
      <c r="AI827" s="160"/>
      <c r="AJ827" s="161"/>
      <c r="AK827" s="162"/>
      <c r="AL827" s="165"/>
      <c r="AM827" s="166"/>
      <c r="AN827" s="165"/>
      <c r="AO827" s="160"/>
      <c r="AP827" s="162"/>
      <c r="AQ827" s="161"/>
      <c r="AR827" s="162"/>
      <c r="AS827" s="161"/>
      <c r="AT827" s="165"/>
      <c r="AU827" s="166"/>
      <c r="AV827" s="165"/>
      <c r="AW827" s="166"/>
      <c r="AX827" s="165"/>
      <c r="AY827" s="165"/>
      <c r="AZ827" s="165"/>
      <c r="BA827" s="165"/>
      <c r="BB827" s="166"/>
      <c r="BC827" s="165"/>
      <c r="BD827" s="165"/>
      <c r="BE827" s="165"/>
      <c r="BF827" s="165"/>
      <c r="BG827" s="165"/>
      <c r="BH827" s="165"/>
      <c r="BI827" s="165"/>
      <c r="BJ827" s="166"/>
      <c r="BK827" s="165"/>
      <c r="BL827" s="165"/>
      <c r="BM827" s="163"/>
      <c r="BN827" s="165"/>
      <c r="BO827" s="165"/>
      <c r="BP827" s="165"/>
      <c r="BQ827" s="167"/>
    </row>
    <row r="828" spans="1:270" ht="39.950000000000003" customHeight="1" outlineLevel="1" x14ac:dyDescent="0.3">
      <c r="A828" s="17" t="s">
        <v>1054</v>
      </c>
      <c r="B828" s="14" t="s">
        <v>1294</v>
      </c>
      <c r="C828" s="9" t="s">
        <v>30</v>
      </c>
      <c r="D828" s="66" t="s">
        <v>1072</v>
      </c>
      <c r="E828" s="158">
        <f t="shared" si="176"/>
        <v>293.25045</v>
      </c>
      <c r="F828" s="159">
        <f t="shared" si="177"/>
        <v>53.481000000000002</v>
      </c>
      <c r="G828" s="160">
        <f t="shared" si="178"/>
        <v>239.76945000000001</v>
      </c>
      <c r="H828" s="166"/>
      <c r="I828" s="165"/>
      <c r="J828" s="160"/>
      <c r="K828" s="160"/>
      <c r="L828" s="166"/>
      <c r="M828" s="165"/>
      <c r="N828" s="165"/>
      <c r="O828" s="165"/>
      <c r="P828" s="160"/>
      <c r="Q828" s="166"/>
      <c r="R828" s="165"/>
      <c r="S828" s="165"/>
      <c r="T828" s="159"/>
      <c r="U828" s="160"/>
      <c r="V828" s="165"/>
      <c r="W828" s="165"/>
      <c r="X828" s="160"/>
      <c r="Y828" s="166">
        <v>53.481000000000002</v>
      </c>
      <c r="Z828" s="160">
        <v>17.827000000000002</v>
      </c>
      <c r="AA828" s="160">
        <v>221.94245000000001</v>
      </c>
      <c r="AB828" s="165"/>
      <c r="AC828" s="165"/>
      <c r="AD828" s="165"/>
      <c r="AE828" s="165"/>
      <c r="AF828" s="160"/>
      <c r="AG828" s="160"/>
      <c r="AH828" s="160"/>
      <c r="AI828" s="160"/>
      <c r="AJ828" s="161"/>
      <c r="AK828" s="162"/>
      <c r="AL828" s="165"/>
      <c r="AM828" s="166"/>
      <c r="AN828" s="165"/>
      <c r="AO828" s="160"/>
      <c r="AP828" s="162"/>
      <c r="AQ828" s="161"/>
      <c r="AR828" s="162"/>
      <c r="AS828" s="161"/>
      <c r="AT828" s="165"/>
      <c r="AU828" s="166"/>
      <c r="AV828" s="165"/>
      <c r="AW828" s="166"/>
      <c r="AX828" s="165"/>
      <c r="AY828" s="165"/>
      <c r="AZ828" s="165"/>
      <c r="BA828" s="165"/>
      <c r="BB828" s="166"/>
      <c r="BC828" s="165"/>
      <c r="BD828" s="165"/>
      <c r="BE828" s="165"/>
      <c r="BF828" s="165"/>
      <c r="BG828" s="165"/>
      <c r="BH828" s="165"/>
      <c r="BI828" s="165"/>
      <c r="BJ828" s="166"/>
      <c r="BK828" s="165"/>
      <c r="BL828" s="165"/>
      <c r="BM828" s="163"/>
      <c r="BN828" s="165"/>
      <c r="BO828" s="165"/>
      <c r="BP828" s="165"/>
      <c r="BQ828" s="167"/>
    </row>
    <row r="829" spans="1:270" ht="39.950000000000003" customHeight="1" outlineLevel="1" x14ac:dyDescent="0.3">
      <c r="A829" s="17" t="s">
        <v>1054</v>
      </c>
      <c r="B829" s="14" t="s">
        <v>1421</v>
      </c>
      <c r="C829" s="9" t="s">
        <v>30</v>
      </c>
      <c r="D829" s="66">
        <v>190118937687</v>
      </c>
      <c r="E829" s="158">
        <f t="shared" si="176"/>
        <v>1059.7990399999999</v>
      </c>
      <c r="F829" s="159">
        <f t="shared" si="177"/>
        <v>670.32149000000004</v>
      </c>
      <c r="G829" s="160">
        <f t="shared" si="178"/>
        <v>389.47754999999995</v>
      </c>
      <c r="H829" s="166">
        <v>535.76774999999998</v>
      </c>
      <c r="I829" s="165">
        <v>178.58924999999999</v>
      </c>
      <c r="J829" s="160"/>
      <c r="K829" s="160"/>
      <c r="L829" s="166">
        <v>134.55374</v>
      </c>
      <c r="M829" s="165">
        <v>210.88829999999999</v>
      </c>
      <c r="N829" s="165"/>
      <c r="O829" s="165"/>
      <c r="P829" s="160"/>
      <c r="Q829" s="166"/>
      <c r="R829" s="165"/>
      <c r="S829" s="165"/>
      <c r="T829" s="159"/>
      <c r="U829" s="160"/>
      <c r="V829" s="165"/>
      <c r="W829" s="165"/>
      <c r="X829" s="160"/>
      <c r="Y829" s="166"/>
      <c r="Z829" s="160"/>
      <c r="AA829" s="160"/>
      <c r="AB829" s="165"/>
      <c r="AC829" s="165"/>
      <c r="AD829" s="165"/>
      <c r="AE829" s="165"/>
      <c r="AF829" s="160"/>
      <c r="AG829" s="160"/>
      <c r="AH829" s="160"/>
      <c r="AI829" s="160"/>
      <c r="AJ829" s="161"/>
      <c r="AK829" s="162"/>
      <c r="AL829" s="165"/>
      <c r="AM829" s="166"/>
      <c r="AN829" s="165"/>
      <c r="AO829" s="160"/>
      <c r="AP829" s="162"/>
      <c r="AQ829" s="161"/>
      <c r="AR829" s="162"/>
      <c r="AS829" s="161"/>
      <c r="AT829" s="165"/>
      <c r="AU829" s="166"/>
      <c r="AV829" s="165"/>
      <c r="AW829" s="166"/>
      <c r="AX829" s="165"/>
      <c r="AY829" s="165"/>
      <c r="AZ829" s="165"/>
      <c r="BA829" s="165"/>
      <c r="BB829" s="166"/>
      <c r="BC829" s="165"/>
      <c r="BD829" s="165"/>
      <c r="BE829" s="165"/>
      <c r="BF829" s="165"/>
      <c r="BG829" s="165"/>
      <c r="BH829" s="165"/>
      <c r="BI829" s="165"/>
      <c r="BJ829" s="166"/>
      <c r="BK829" s="165"/>
      <c r="BL829" s="165"/>
      <c r="BM829" s="163"/>
      <c r="BN829" s="165"/>
      <c r="BO829" s="165"/>
      <c r="BP829" s="165"/>
      <c r="BQ829" s="167"/>
    </row>
    <row r="830" spans="1:270" ht="39.950000000000003" customHeight="1" outlineLevel="1" x14ac:dyDescent="0.3">
      <c r="A830" s="17" t="s">
        <v>1054</v>
      </c>
      <c r="B830" s="14" t="s">
        <v>1302</v>
      </c>
      <c r="C830" s="9" t="s">
        <v>30</v>
      </c>
      <c r="D830" s="66" t="s">
        <v>1158</v>
      </c>
      <c r="E830" s="158">
        <f t="shared" si="176"/>
        <v>6045.2399599999999</v>
      </c>
      <c r="F830" s="159">
        <f t="shared" si="177"/>
        <v>0</v>
      </c>
      <c r="G830" s="160">
        <f t="shared" si="178"/>
        <v>6045.2399599999999</v>
      </c>
      <c r="H830" s="166"/>
      <c r="I830" s="165"/>
      <c r="J830" s="160">
        <v>78</v>
      </c>
      <c r="K830" s="160"/>
      <c r="L830" s="166"/>
      <c r="M830" s="165"/>
      <c r="N830" s="165"/>
      <c r="O830" s="165"/>
      <c r="P830" s="160"/>
      <c r="Q830" s="166"/>
      <c r="R830" s="165"/>
      <c r="S830" s="165">
        <v>59.04</v>
      </c>
      <c r="T830" s="159"/>
      <c r="U830" s="160"/>
      <c r="V830" s="165"/>
      <c r="W830" s="165">
        <v>815.36</v>
      </c>
      <c r="X830" s="160"/>
      <c r="Y830" s="166"/>
      <c r="Z830" s="160"/>
      <c r="AA830" s="160"/>
      <c r="AB830" s="165"/>
      <c r="AC830" s="165"/>
      <c r="AD830" s="165"/>
      <c r="AE830" s="165"/>
      <c r="AF830" s="160"/>
      <c r="AG830" s="160"/>
      <c r="AH830" s="160"/>
      <c r="AI830" s="160"/>
      <c r="AJ830" s="161"/>
      <c r="AK830" s="162"/>
      <c r="AL830" s="165"/>
      <c r="AM830" s="166"/>
      <c r="AN830" s="165"/>
      <c r="AO830" s="160"/>
      <c r="AP830" s="162"/>
      <c r="AQ830" s="161"/>
      <c r="AR830" s="162"/>
      <c r="AS830" s="161"/>
      <c r="AT830" s="165"/>
      <c r="AU830" s="166"/>
      <c r="AV830" s="165"/>
      <c r="AW830" s="166"/>
      <c r="AX830" s="165"/>
      <c r="AY830" s="165"/>
      <c r="AZ830" s="165"/>
      <c r="BA830" s="165"/>
      <c r="BB830" s="166"/>
      <c r="BC830" s="165"/>
      <c r="BD830" s="165"/>
      <c r="BE830" s="165">
        <v>1370.4558</v>
      </c>
      <c r="BF830" s="165">
        <v>722.38415999999995</v>
      </c>
      <c r="BG830" s="165"/>
      <c r="BH830" s="165">
        <v>3000</v>
      </c>
      <c r="BI830" s="165"/>
      <c r="BJ830" s="166"/>
      <c r="BK830" s="165"/>
      <c r="BL830" s="165"/>
      <c r="BM830" s="163"/>
      <c r="BN830" s="165"/>
      <c r="BO830" s="165"/>
      <c r="BP830" s="165"/>
      <c r="BQ830" s="167"/>
    </row>
    <row r="831" spans="1:270" ht="39.950000000000003" customHeight="1" outlineLevel="1" x14ac:dyDescent="0.3">
      <c r="A831" s="17" t="s">
        <v>1054</v>
      </c>
      <c r="B831" s="12" t="s">
        <v>1073</v>
      </c>
      <c r="C831" s="9" t="s">
        <v>73</v>
      </c>
      <c r="D831" s="66" t="s">
        <v>1074</v>
      </c>
      <c r="E831" s="158">
        <f t="shared" si="176"/>
        <v>1565.08547</v>
      </c>
      <c r="F831" s="159">
        <f t="shared" si="177"/>
        <v>0</v>
      </c>
      <c r="G831" s="160">
        <f t="shared" si="178"/>
        <v>1565.08547</v>
      </c>
      <c r="H831" s="166"/>
      <c r="I831" s="165"/>
      <c r="J831" s="160"/>
      <c r="K831" s="160"/>
      <c r="L831" s="166"/>
      <c r="M831" s="165"/>
      <c r="N831" s="165"/>
      <c r="O831" s="165"/>
      <c r="P831" s="160"/>
      <c r="Q831" s="166"/>
      <c r="R831" s="165"/>
      <c r="S831" s="165"/>
      <c r="T831" s="159"/>
      <c r="U831" s="160"/>
      <c r="V831" s="165"/>
      <c r="W831" s="165"/>
      <c r="X831" s="160"/>
      <c r="Y831" s="166"/>
      <c r="Z831" s="160"/>
      <c r="AA831" s="160"/>
      <c r="AB831" s="165"/>
      <c r="AC831" s="165"/>
      <c r="AD831" s="165"/>
      <c r="AE831" s="165"/>
      <c r="AF831" s="160"/>
      <c r="AG831" s="160"/>
      <c r="AH831" s="160"/>
      <c r="AI831" s="160"/>
      <c r="AJ831" s="161"/>
      <c r="AK831" s="162"/>
      <c r="AL831" s="165"/>
      <c r="AM831" s="166"/>
      <c r="AN831" s="165"/>
      <c r="AO831" s="160"/>
      <c r="AP831" s="162"/>
      <c r="AQ831" s="161"/>
      <c r="AR831" s="162"/>
      <c r="AS831" s="161"/>
      <c r="AT831" s="165">
        <f>459.54+806.49+144.19884+154.85663</f>
        <v>1565.08547</v>
      </c>
      <c r="AU831" s="166"/>
      <c r="AV831" s="165"/>
      <c r="AW831" s="166"/>
      <c r="AX831" s="165"/>
      <c r="AY831" s="165"/>
      <c r="AZ831" s="165"/>
      <c r="BA831" s="165"/>
      <c r="BB831" s="166"/>
      <c r="BC831" s="165"/>
      <c r="BD831" s="165"/>
      <c r="BE831" s="165"/>
      <c r="BF831" s="165"/>
      <c r="BG831" s="165"/>
      <c r="BH831" s="165"/>
      <c r="BI831" s="165"/>
      <c r="BJ831" s="166"/>
      <c r="BK831" s="165"/>
      <c r="BL831" s="165"/>
      <c r="BM831" s="163"/>
      <c r="BN831" s="165"/>
      <c r="BO831" s="165"/>
      <c r="BP831" s="165"/>
      <c r="BQ831" s="167"/>
    </row>
    <row r="832" spans="1:270" ht="39.950000000000003" customHeight="1" outlineLevel="1" x14ac:dyDescent="0.3">
      <c r="A832" s="15" t="s">
        <v>1054</v>
      </c>
      <c r="B832" s="14" t="s">
        <v>1057</v>
      </c>
      <c r="C832" s="35" t="s">
        <v>6</v>
      </c>
      <c r="D832" s="66" t="s">
        <v>1058</v>
      </c>
      <c r="E832" s="158">
        <f t="shared" si="176"/>
        <v>34616.65971</v>
      </c>
      <c r="F832" s="159">
        <f t="shared" si="177"/>
        <v>14891.471019999999</v>
      </c>
      <c r="G832" s="160">
        <f t="shared" si="178"/>
        <v>19725.188689999999</v>
      </c>
      <c r="H832" s="166">
        <v>10736.25</v>
      </c>
      <c r="I832" s="165">
        <v>3578.75</v>
      </c>
      <c r="J832" s="160"/>
      <c r="K832" s="160"/>
      <c r="L832" s="166">
        <v>3211.0281100000002</v>
      </c>
      <c r="M832" s="165">
        <v>5032.6976000000004</v>
      </c>
      <c r="N832" s="165"/>
      <c r="O832" s="165"/>
      <c r="P832" s="160"/>
      <c r="Q832" s="166"/>
      <c r="R832" s="165"/>
      <c r="S832" s="165"/>
      <c r="T832" s="159"/>
      <c r="U832" s="160"/>
      <c r="V832" s="165"/>
      <c r="W832" s="165"/>
      <c r="X832" s="160"/>
      <c r="Y832" s="166">
        <v>944.19290999999998</v>
      </c>
      <c r="Z832" s="160">
        <v>314.73097000000001</v>
      </c>
      <c r="AA832" s="165">
        <v>3631.7988999999998</v>
      </c>
      <c r="AB832" s="165"/>
      <c r="AC832" s="165"/>
      <c r="AD832" s="165"/>
      <c r="AE832" s="165"/>
      <c r="AF832" s="160"/>
      <c r="AG832" s="160"/>
      <c r="AH832" s="160"/>
      <c r="AI832" s="160">
        <v>234.79452000000001</v>
      </c>
      <c r="AJ832" s="161"/>
      <c r="AK832" s="162"/>
      <c r="AL832" s="165"/>
      <c r="AM832" s="166"/>
      <c r="AN832" s="165"/>
      <c r="AO832" s="160"/>
      <c r="AP832" s="162"/>
      <c r="AQ832" s="161"/>
      <c r="AR832" s="162"/>
      <c r="AS832" s="161"/>
      <c r="AT832" s="165"/>
      <c r="AU832" s="166"/>
      <c r="AV832" s="165"/>
      <c r="AW832" s="166"/>
      <c r="AX832" s="165"/>
      <c r="AY832" s="165"/>
      <c r="AZ832" s="165"/>
      <c r="BA832" s="165">
        <f>27.01588+129.67945</f>
        <v>156.69533000000001</v>
      </c>
      <c r="BB832" s="166"/>
      <c r="BC832" s="165"/>
      <c r="BD832" s="165"/>
      <c r="BE832" s="165">
        <v>2758.48776</v>
      </c>
      <c r="BF832" s="165">
        <v>4017.2336100000002</v>
      </c>
      <c r="BG832" s="165"/>
      <c r="BH832" s="165"/>
      <c r="BI832" s="165"/>
      <c r="BJ832" s="166"/>
      <c r="BK832" s="165"/>
      <c r="BL832" s="165"/>
      <c r="BM832" s="163"/>
      <c r="BN832" s="165"/>
      <c r="BO832" s="165"/>
      <c r="BP832" s="165"/>
      <c r="BQ832" s="167"/>
    </row>
    <row r="833" spans="1:270" ht="39.950000000000003" customHeight="1" outlineLevel="1" x14ac:dyDescent="0.3">
      <c r="A833" s="15" t="s">
        <v>1054</v>
      </c>
      <c r="B833" s="14" t="s">
        <v>1055</v>
      </c>
      <c r="C833" s="9" t="s">
        <v>6</v>
      </c>
      <c r="D833" s="66" t="s">
        <v>1056</v>
      </c>
      <c r="E833" s="158">
        <f t="shared" si="176"/>
        <v>32904.94541</v>
      </c>
      <c r="F833" s="159">
        <f t="shared" si="177"/>
        <v>5355.7905599999995</v>
      </c>
      <c r="G833" s="160">
        <f t="shared" si="178"/>
        <v>27549.154850000003</v>
      </c>
      <c r="H833" s="166">
        <v>923.73357999999996</v>
      </c>
      <c r="I833" s="165">
        <v>307.91120000000001</v>
      </c>
      <c r="J833" s="160"/>
      <c r="K833" s="160"/>
      <c r="L833" s="166">
        <v>2962.3956499999999</v>
      </c>
      <c r="M833" s="165">
        <v>4643.0118300000004</v>
      </c>
      <c r="N833" s="165"/>
      <c r="O833" s="165"/>
      <c r="P833" s="160"/>
      <c r="Q833" s="166"/>
      <c r="R833" s="165"/>
      <c r="S833" s="165"/>
      <c r="T833" s="159"/>
      <c r="U833" s="160"/>
      <c r="V833" s="165"/>
      <c r="W833" s="165"/>
      <c r="X833" s="160"/>
      <c r="Y833" s="166">
        <v>1469.6613299999999</v>
      </c>
      <c r="Z833" s="160">
        <v>489.88711000000001</v>
      </c>
      <c r="AA833" s="160"/>
      <c r="AB833" s="165"/>
      <c r="AC833" s="165"/>
      <c r="AD833" s="165"/>
      <c r="AE833" s="165"/>
      <c r="AF833" s="160"/>
      <c r="AG833" s="160"/>
      <c r="AH833" s="160"/>
      <c r="AI833" s="160"/>
      <c r="AJ833" s="161"/>
      <c r="AK833" s="162"/>
      <c r="AL833" s="165"/>
      <c r="AM833" s="166"/>
      <c r="AN833" s="165"/>
      <c r="AO833" s="160"/>
      <c r="AP833" s="162"/>
      <c r="AQ833" s="161"/>
      <c r="AR833" s="162"/>
      <c r="AS833" s="161"/>
      <c r="AT833" s="165"/>
      <c r="AU833" s="166"/>
      <c r="AV833" s="165"/>
      <c r="AW833" s="166"/>
      <c r="AX833" s="165"/>
      <c r="AY833" s="165"/>
      <c r="AZ833" s="165"/>
      <c r="BA833" s="165"/>
      <c r="BB833" s="166"/>
      <c r="BC833" s="165"/>
      <c r="BD833" s="165"/>
      <c r="BE833" s="165">
        <v>13188.89471</v>
      </c>
      <c r="BF833" s="165">
        <v>8919.4500000000007</v>
      </c>
      <c r="BG833" s="165"/>
      <c r="BH833" s="165"/>
      <c r="BI833" s="165"/>
      <c r="BJ833" s="166"/>
      <c r="BK833" s="165"/>
      <c r="BL833" s="165"/>
      <c r="BM833" s="163"/>
      <c r="BN833" s="165"/>
      <c r="BO833" s="165"/>
      <c r="BP833" s="165"/>
      <c r="BQ833" s="167"/>
    </row>
    <row r="834" spans="1:270" ht="39.950000000000003" customHeight="1" outlineLevel="1" x14ac:dyDescent="0.3">
      <c r="A834" s="15" t="s">
        <v>1054</v>
      </c>
      <c r="B834" s="14" t="s">
        <v>1348</v>
      </c>
      <c r="C834" s="35" t="s">
        <v>6</v>
      </c>
      <c r="D834" s="66">
        <v>2459016961</v>
      </c>
      <c r="E834" s="158">
        <f t="shared" si="176"/>
        <v>3436.4092000000001</v>
      </c>
      <c r="F834" s="159">
        <f t="shared" si="177"/>
        <v>0</v>
      </c>
      <c r="G834" s="160">
        <f t="shared" si="178"/>
        <v>3436.4092000000001</v>
      </c>
      <c r="H834" s="166"/>
      <c r="I834" s="165"/>
      <c r="J834" s="160"/>
      <c r="K834" s="160"/>
      <c r="L834" s="166"/>
      <c r="M834" s="165"/>
      <c r="N834" s="165"/>
      <c r="O834" s="165"/>
      <c r="P834" s="160"/>
      <c r="Q834" s="166"/>
      <c r="R834" s="165"/>
      <c r="S834" s="165"/>
      <c r="T834" s="159"/>
      <c r="U834" s="160"/>
      <c r="V834" s="165"/>
      <c r="W834" s="165"/>
      <c r="X834" s="160"/>
      <c r="Y834" s="166"/>
      <c r="Z834" s="160"/>
      <c r="AA834" s="165"/>
      <c r="AB834" s="165"/>
      <c r="AC834" s="165"/>
      <c r="AD834" s="165">
        <v>3077.1569199999999</v>
      </c>
      <c r="AE834" s="165"/>
      <c r="AF834" s="160"/>
      <c r="AG834" s="160"/>
      <c r="AH834" s="160"/>
      <c r="AI834" s="160"/>
      <c r="AJ834" s="161"/>
      <c r="AK834" s="162"/>
      <c r="AL834" s="165"/>
      <c r="AM834" s="166"/>
      <c r="AN834" s="165"/>
      <c r="AO834" s="160"/>
      <c r="AP834" s="162"/>
      <c r="AQ834" s="161"/>
      <c r="AR834" s="162"/>
      <c r="AS834" s="161"/>
      <c r="AT834" s="165"/>
      <c r="AU834" s="166"/>
      <c r="AV834" s="165"/>
      <c r="AW834" s="166"/>
      <c r="AX834" s="165"/>
      <c r="AY834" s="165"/>
      <c r="AZ834" s="165"/>
      <c r="BA834" s="165"/>
      <c r="BB834" s="166"/>
      <c r="BC834" s="165"/>
      <c r="BD834" s="165"/>
      <c r="BE834" s="165"/>
      <c r="BF834" s="165">
        <v>359.25227999999998</v>
      </c>
      <c r="BG834" s="165"/>
      <c r="BH834" s="165"/>
      <c r="BI834" s="165"/>
      <c r="BJ834" s="166"/>
      <c r="BK834" s="165"/>
      <c r="BL834" s="165"/>
      <c r="BM834" s="163"/>
      <c r="BN834" s="165"/>
      <c r="BO834" s="165"/>
      <c r="BP834" s="165"/>
      <c r="BQ834" s="167"/>
    </row>
    <row r="835" spans="1:270" ht="39.950000000000003" customHeight="1" outlineLevel="1" x14ac:dyDescent="0.3">
      <c r="A835" s="15" t="s">
        <v>1054</v>
      </c>
      <c r="B835" s="14" t="s">
        <v>1506</v>
      </c>
      <c r="C835" s="35" t="s">
        <v>73</v>
      </c>
      <c r="D835" s="66">
        <v>2456014317</v>
      </c>
      <c r="E835" s="158">
        <f t="shared" si="176"/>
        <v>961.94608000000005</v>
      </c>
      <c r="F835" s="159">
        <f t="shared" si="177"/>
        <v>0</v>
      </c>
      <c r="G835" s="160">
        <f t="shared" si="178"/>
        <v>961.94608000000005</v>
      </c>
      <c r="H835" s="166"/>
      <c r="I835" s="165"/>
      <c r="J835" s="160"/>
      <c r="K835" s="160"/>
      <c r="L835" s="166"/>
      <c r="M835" s="165"/>
      <c r="N835" s="165"/>
      <c r="O835" s="165"/>
      <c r="P835" s="160"/>
      <c r="Q835" s="166"/>
      <c r="R835" s="165"/>
      <c r="S835" s="165"/>
      <c r="T835" s="159"/>
      <c r="U835" s="160"/>
      <c r="V835" s="165"/>
      <c r="W835" s="165"/>
      <c r="X835" s="160"/>
      <c r="Y835" s="166"/>
      <c r="Z835" s="160"/>
      <c r="AA835" s="165"/>
      <c r="AB835" s="165"/>
      <c r="AC835" s="165"/>
      <c r="AD835" s="165"/>
      <c r="AE835" s="165"/>
      <c r="AF835" s="160"/>
      <c r="AG835" s="160"/>
      <c r="AH835" s="160"/>
      <c r="AI835" s="160"/>
      <c r="AJ835" s="161"/>
      <c r="AK835" s="162"/>
      <c r="AL835" s="165"/>
      <c r="AM835" s="166"/>
      <c r="AN835" s="165"/>
      <c r="AO835" s="160"/>
      <c r="AP835" s="162"/>
      <c r="AQ835" s="161"/>
      <c r="AR835" s="162"/>
      <c r="AS835" s="161"/>
      <c r="AT835" s="165"/>
      <c r="AU835" s="166"/>
      <c r="AV835" s="165"/>
      <c r="AW835" s="166"/>
      <c r="AX835" s="165"/>
      <c r="AY835" s="165"/>
      <c r="AZ835" s="165"/>
      <c r="BA835" s="165"/>
      <c r="BB835" s="166"/>
      <c r="BC835" s="165"/>
      <c r="BD835" s="165"/>
      <c r="BE835" s="165">
        <v>961.94608000000005</v>
      </c>
      <c r="BF835" s="165"/>
      <c r="BG835" s="165"/>
      <c r="BH835" s="165"/>
      <c r="BI835" s="165"/>
      <c r="BJ835" s="166"/>
      <c r="BK835" s="165"/>
      <c r="BL835" s="165"/>
      <c r="BM835" s="163"/>
      <c r="BN835" s="165"/>
      <c r="BO835" s="165"/>
      <c r="BP835" s="165"/>
      <c r="BQ835" s="167"/>
    </row>
    <row r="836" spans="1:270" ht="39.950000000000003" customHeight="1" outlineLevel="1" x14ac:dyDescent="0.3">
      <c r="A836" s="17" t="s">
        <v>1054</v>
      </c>
      <c r="B836" s="14" t="s">
        <v>1059</v>
      </c>
      <c r="C836" s="9" t="s">
        <v>6</v>
      </c>
      <c r="D836" s="66" t="s">
        <v>1060</v>
      </c>
      <c r="E836" s="158">
        <f t="shared" si="176"/>
        <v>22879.636419999999</v>
      </c>
      <c r="F836" s="159">
        <f t="shared" si="177"/>
        <v>1592.0653299999999</v>
      </c>
      <c r="G836" s="160">
        <f t="shared" si="178"/>
        <v>21287.571089999998</v>
      </c>
      <c r="H836" s="166"/>
      <c r="I836" s="165"/>
      <c r="J836" s="160"/>
      <c r="K836" s="160"/>
      <c r="L836" s="166">
        <v>1168.32062</v>
      </c>
      <c r="M836" s="165">
        <v>1831.1282699999999</v>
      </c>
      <c r="N836" s="165"/>
      <c r="O836" s="165"/>
      <c r="P836" s="160"/>
      <c r="Q836" s="166"/>
      <c r="R836" s="165"/>
      <c r="S836" s="165"/>
      <c r="T836" s="159"/>
      <c r="U836" s="160"/>
      <c r="V836" s="165"/>
      <c r="W836" s="165"/>
      <c r="X836" s="160"/>
      <c r="Y836" s="166"/>
      <c r="Z836" s="160"/>
      <c r="AA836" s="160"/>
      <c r="AB836" s="165"/>
      <c r="AC836" s="165"/>
      <c r="AD836" s="165"/>
      <c r="AE836" s="165"/>
      <c r="AF836" s="160"/>
      <c r="AG836" s="160"/>
      <c r="AH836" s="160"/>
      <c r="AI836" s="160">
        <v>95.005380000000002</v>
      </c>
      <c r="AJ836" s="161"/>
      <c r="AK836" s="162"/>
      <c r="AL836" s="165"/>
      <c r="AM836" s="166"/>
      <c r="AN836" s="165"/>
      <c r="AO836" s="160"/>
      <c r="AP836" s="162"/>
      <c r="AQ836" s="161"/>
      <c r="AR836" s="162"/>
      <c r="AS836" s="161"/>
      <c r="AT836" s="165"/>
      <c r="AU836" s="166"/>
      <c r="AV836" s="165"/>
      <c r="AW836" s="166">
        <f>388.46029+35.28442</f>
        <v>423.74471</v>
      </c>
      <c r="AX836" s="165">
        <f>116.0336+10.5395</f>
        <v>126.57310000000001</v>
      </c>
      <c r="AY836" s="165">
        <v>292.32137</v>
      </c>
      <c r="AZ836" s="165"/>
      <c r="BA836" s="165">
        <v>1286.4546399999999</v>
      </c>
      <c r="BB836" s="166"/>
      <c r="BC836" s="165"/>
      <c r="BD836" s="165"/>
      <c r="BE836" s="165">
        <v>7473.3897399999996</v>
      </c>
      <c r="BF836" s="165">
        <v>4182.69859</v>
      </c>
      <c r="BG836" s="165"/>
      <c r="BH836" s="165">
        <v>6000</v>
      </c>
      <c r="BI836" s="165"/>
      <c r="BJ836" s="166"/>
      <c r="BK836" s="165"/>
      <c r="BL836" s="165"/>
      <c r="BM836" s="163"/>
      <c r="BN836" s="165"/>
      <c r="BO836" s="165"/>
      <c r="BP836" s="165"/>
      <c r="BQ836" s="167"/>
    </row>
    <row r="837" spans="1:270" ht="39.950000000000003" customHeight="1" outlineLevel="1" x14ac:dyDescent="0.3">
      <c r="A837" s="17" t="s">
        <v>1054</v>
      </c>
      <c r="B837" s="14" t="s">
        <v>1454</v>
      </c>
      <c r="C837" s="9" t="s">
        <v>6</v>
      </c>
      <c r="D837" s="66" t="s">
        <v>1061</v>
      </c>
      <c r="E837" s="158">
        <f t="shared" si="176"/>
        <v>15813.586369999999</v>
      </c>
      <c r="F837" s="159">
        <f t="shared" si="177"/>
        <v>1016.25189</v>
      </c>
      <c r="G837" s="160">
        <f t="shared" si="178"/>
        <v>14797.33448</v>
      </c>
      <c r="H837" s="166"/>
      <c r="I837" s="165"/>
      <c r="J837" s="160"/>
      <c r="K837" s="160"/>
      <c r="L837" s="166">
        <v>1016.25189</v>
      </c>
      <c r="M837" s="165">
        <v>1592.78844</v>
      </c>
      <c r="N837" s="165"/>
      <c r="O837" s="165"/>
      <c r="P837" s="160"/>
      <c r="Q837" s="166"/>
      <c r="R837" s="165"/>
      <c r="S837" s="165"/>
      <c r="T837" s="159"/>
      <c r="U837" s="160"/>
      <c r="V837" s="165"/>
      <c r="W837" s="165"/>
      <c r="X837" s="160"/>
      <c r="Y837" s="166"/>
      <c r="Z837" s="160"/>
      <c r="AA837" s="160"/>
      <c r="AB837" s="165"/>
      <c r="AC837" s="165"/>
      <c r="AD837" s="165"/>
      <c r="AE837" s="165"/>
      <c r="AF837" s="160"/>
      <c r="AG837" s="160"/>
      <c r="AH837" s="160"/>
      <c r="AI837" s="160">
        <v>2269.7149599999998</v>
      </c>
      <c r="AJ837" s="161"/>
      <c r="AK837" s="162"/>
      <c r="AL837" s="165"/>
      <c r="AM837" s="166"/>
      <c r="AN837" s="165"/>
      <c r="AO837" s="160"/>
      <c r="AP837" s="162"/>
      <c r="AQ837" s="161"/>
      <c r="AR837" s="162"/>
      <c r="AS837" s="161"/>
      <c r="AT837" s="165"/>
      <c r="AU837" s="166"/>
      <c r="AV837" s="165"/>
      <c r="AW837" s="166"/>
      <c r="AX837" s="165"/>
      <c r="AY837" s="165"/>
      <c r="AZ837" s="165"/>
      <c r="BA837" s="165"/>
      <c r="BB837" s="166"/>
      <c r="BC837" s="165"/>
      <c r="BD837" s="165"/>
      <c r="BE837" s="165">
        <v>10934.83108</v>
      </c>
      <c r="BF837" s="165"/>
      <c r="BG837" s="165"/>
      <c r="BH837" s="165"/>
      <c r="BI837" s="165"/>
      <c r="BJ837" s="166"/>
      <c r="BK837" s="165"/>
      <c r="BL837" s="165"/>
      <c r="BM837" s="163"/>
      <c r="BN837" s="165"/>
      <c r="BO837" s="165"/>
      <c r="BP837" s="165"/>
      <c r="BQ837" s="167"/>
    </row>
    <row r="838" spans="1:270" ht="39.950000000000003" customHeight="1" outlineLevel="1" x14ac:dyDescent="0.3">
      <c r="A838" s="17" t="s">
        <v>1054</v>
      </c>
      <c r="B838" s="12" t="s">
        <v>1062</v>
      </c>
      <c r="C838" s="9" t="s">
        <v>6</v>
      </c>
      <c r="D838" s="66" t="s">
        <v>1063</v>
      </c>
      <c r="E838" s="158">
        <f t="shared" si="176"/>
        <v>1295.66714</v>
      </c>
      <c r="F838" s="159">
        <f t="shared" si="177"/>
        <v>411.00045</v>
      </c>
      <c r="G838" s="160">
        <f t="shared" si="178"/>
        <v>884.66669000000002</v>
      </c>
      <c r="H838" s="166">
        <v>78.75</v>
      </c>
      <c r="I838" s="165">
        <v>26.25</v>
      </c>
      <c r="J838" s="160"/>
      <c r="K838" s="160"/>
      <c r="L838" s="166">
        <v>277.00272000000001</v>
      </c>
      <c r="M838" s="165">
        <v>434.15096</v>
      </c>
      <c r="N838" s="165"/>
      <c r="O838" s="165"/>
      <c r="P838" s="160"/>
      <c r="Q838" s="166"/>
      <c r="R838" s="165"/>
      <c r="S838" s="165"/>
      <c r="T838" s="159"/>
      <c r="U838" s="160"/>
      <c r="V838" s="165"/>
      <c r="W838" s="165"/>
      <c r="X838" s="160"/>
      <c r="Y838" s="166">
        <v>55.247729999999997</v>
      </c>
      <c r="Z838" s="160">
        <v>18.41591</v>
      </c>
      <c r="AA838" s="160">
        <v>381.00121999999999</v>
      </c>
      <c r="AB838" s="165"/>
      <c r="AC838" s="165"/>
      <c r="AD838" s="165"/>
      <c r="AE838" s="165"/>
      <c r="AF838" s="160"/>
      <c r="AG838" s="160"/>
      <c r="AH838" s="160"/>
      <c r="AI838" s="160"/>
      <c r="AJ838" s="161"/>
      <c r="AK838" s="162"/>
      <c r="AL838" s="165"/>
      <c r="AM838" s="166"/>
      <c r="AN838" s="165"/>
      <c r="AO838" s="160"/>
      <c r="AP838" s="162"/>
      <c r="AQ838" s="161"/>
      <c r="AR838" s="162"/>
      <c r="AS838" s="161"/>
      <c r="AT838" s="165"/>
      <c r="AU838" s="166"/>
      <c r="AV838" s="165"/>
      <c r="AW838" s="166"/>
      <c r="AX838" s="165"/>
      <c r="AY838" s="165"/>
      <c r="AZ838" s="165"/>
      <c r="BA838" s="165"/>
      <c r="BB838" s="166"/>
      <c r="BC838" s="165"/>
      <c r="BD838" s="165"/>
      <c r="BE838" s="165">
        <v>24.848600000000001</v>
      </c>
      <c r="BF838" s="165"/>
      <c r="BG838" s="165"/>
      <c r="BH838" s="165"/>
      <c r="BI838" s="165"/>
      <c r="BJ838" s="166"/>
      <c r="BK838" s="165"/>
      <c r="BL838" s="165"/>
      <c r="BM838" s="163"/>
      <c r="BN838" s="165"/>
      <c r="BO838" s="165"/>
      <c r="BP838" s="165"/>
      <c r="BQ838" s="167"/>
    </row>
    <row r="839" spans="1:270" s="34" customFormat="1" ht="39.950000000000003" customHeight="1" x14ac:dyDescent="0.3">
      <c r="A839" s="114" t="s">
        <v>1075</v>
      </c>
      <c r="B839" s="115"/>
      <c r="C839" s="116" t="s">
        <v>80</v>
      </c>
      <c r="D839" s="117"/>
      <c r="E839" s="173">
        <f t="shared" ref="E839:AI839" si="179">SUBTOTAL(9,E823:E838)</f>
        <v>136385.56650999998</v>
      </c>
      <c r="F839" s="173">
        <f t="shared" si="179"/>
        <v>27444.376209999999</v>
      </c>
      <c r="G839" s="173">
        <f t="shared" si="179"/>
        <v>108941.1903</v>
      </c>
      <c r="H839" s="173">
        <f t="shared" si="179"/>
        <v>14365.63408</v>
      </c>
      <c r="I839" s="173">
        <f t="shared" si="179"/>
        <v>4788.5447000000004</v>
      </c>
      <c r="J839" s="173">
        <f t="shared" si="179"/>
        <v>78</v>
      </c>
      <c r="K839" s="173">
        <f t="shared" si="179"/>
        <v>0</v>
      </c>
      <c r="L839" s="173">
        <f t="shared" si="179"/>
        <v>9882.8444100000015</v>
      </c>
      <c r="M839" s="173">
        <f t="shared" si="179"/>
        <v>15489.54593</v>
      </c>
      <c r="N839" s="173">
        <f t="shared" si="179"/>
        <v>0</v>
      </c>
      <c r="O839" s="173">
        <f>SUBTOTAL(9,O823:O838)</f>
        <v>0</v>
      </c>
      <c r="P839" s="173">
        <f>SUBTOTAL(9,P823:P838)</f>
        <v>0</v>
      </c>
      <c r="Q839" s="173">
        <f t="shared" si="179"/>
        <v>0</v>
      </c>
      <c r="R839" s="173">
        <f t="shared" si="179"/>
        <v>0</v>
      </c>
      <c r="S839" s="173">
        <f t="shared" si="179"/>
        <v>59.04</v>
      </c>
      <c r="T839" s="173">
        <f>SUBTOTAL(9,T823:T838)</f>
        <v>0</v>
      </c>
      <c r="U839" s="173">
        <f>SUBTOTAL(9,U823:U838)</f>
        <v>0</v>
      </c>
      <c r="V839" s="173">
        <f t="shared" si="179"/>
        <v>0</v>
      </c>
      <c r="W839" s="173">
        <f t="shared" si="179"/>
        <v>815.36</v>
      </c>
      <c r="X839" s="173">
        <f>SUBTOTAL(9,X823:X838)</f>
        <v>0</v>
      </c>
      <c r="Y839" s="173">
        <f t="shared" si="179"/>
        <v>2761.3299299999999</v>
      </c>
      <c r="Z839" s="173">
        <f t="shared" si="179"/>
        <v>920.44331</v>
      </c>
      <c r="AA839" s="173">
        <f t="shared" si="179"/>
        <v>5464.8903900000005</v>
      </c>
      <c r="AB839" s="173">
        <f t="shared" si="179"/>
        <v>0</v>
      </c>
      <c r="AC839" s="173">
        <f t="shared" si="179"/>
        <v>0</v>
      </c>
      <c r="AD839" s="173">
        <f>SUBTOTAL(9,AD823:AD838)</f>
        <v>3077.1569199999999</v>
      </c>
      <c r="AE839" s="173">
        <f t="shared" si="179"/>
        <v>0</v>
      </c>
      <c r="AF839" s="173">
        <f t="shared" si="179"/>
        <v>0</v>
      </c>
      <c r="AG839" s="173">
        <f t="shared" si="179"/>
        <v>0</v>
      </c>
      <c r="AH839" s="173">
        <f t="shared" si="179"/>
        <v>0</v>
      </c>
      <c r="AI839" s="173">
        <f t="shared" si="179"/>
        <v>2599.5148599999998</v>
      </c>
      <c r="AJ839" s="173">
        <f t="shared" ref="AJ839:BQ839" si="180">SUBTOTAL(9,AJ823:AJ838)</f>
        <v>0</v>
      </c>
      <c r="AK839" s="173">
        <f t="shared" si="180"/>
        <v>0</v>
      </c>
      <c r="AL839" s="173">
        <f t="shared" si="180"/>
        <v>0</v>
      </c>
      <c r="AM839" s="173">
        <f>SUBTOTAL(9,AM823:AM838)</f>
        <v>0</v>
      </c>
      <c r="AN839" s="173">
        <f>SUBTOTAL(9,AN823:AN838)</f>
        <v>0</v>
      </c>
      <c r="AO839" s="173">
        <f>SUBTOTAL(9,AO823:AO838)</f>
        <v>0</v>
      </c>
      <c r="AP839" s="173">
        <f t="shared" si="180"/>
        <v>0</v>
      </c>
      <c r="AQ839" s="173">
        <f t="shared" si="180"/>
        <v>0</v>
      </c>
      <c r="AR839" s="173">
        <f t="shared" si="180"/>
        <v>0</v>
      </c>
      <c r="AS839" s="173">
        <f t="shared" si="180"/>
        <v>0</v>
      </c>
      <c r="AT839" s="173">
        <f>SUBTOTAL(9,AT823:AT838)</f>
        <v>1565.08547</v>
      </c>
      <c r="AU839" s="173">
        <f t="shared" si="180"/>
        <v>0</v>
      </c>
      <c r="AV839" s="173">
        <f t="shared" si="180"/>
        <v>0</v>
      </c>
      <c r="AW839" s="173">
        <f t="shared" si="180"/>
        <v>434.56779</v>
      </c>
      <c r="AX839" s="173">
        <f t="shared" si="180"/>
        <v>131.98463000000001</v>
      </c>
      <c r="AY839" s="173">
        <f t="shared" si="180"/>
        <v>292.32137</v>
      </c>
      <c r="AZ839" s="173">
        <f t="shared" si="180"/>
        <v>0</v>
      </c>
      <c r="BA839" s="173">
        <f t="shared" si="180"/>
        <v>1448.6522499999999</v>
      </c>
      <c r="BB839" s="173">
        <f t="shared" si="180"/>
        <v>0</v>
      </c>
      <c r="BC839" s="173">
        <f t="shared" si="180"/>
        <v>0</v>
      </c>
      <c r="BD839" s="173">
        <f t="shared" si="180"/>
        <v>0</v>
      </c>
      <c r="BE839" s="173">
        <f t="shared" si="180"/>
        <v>36940.302849999993</v>
      </c>
      <c r="BF839" s="173">
        <f t="shared" si="180"/>
        <v>20270.34762</v>
      </c>
      <c r="BG839" s="173">
        <f t="shared" si="180"/>
        <v>0</v>
      </c>
      <c r="BH839" s="173">
        <f t="shared" si="180"/>
        <v>15000</v>
      </c>
      <c r="BI839" s="173">
        <f t="shared" si="180"/>
        <v>0</v>
      </c>
      <c r="BJ839" s="173">
        <f t="shared" si="180"/>
        <v>0</v>
      </c>
      <c r="BK839" s="173">
        <f t="shared" si="180"/>
        <v>0</v>
      </c>
      <c r="BL839" s="173">
        <f t="shared" si="180"/>
        <v>0</v>
      </c>
      <c r="BM839" s="174">
        <f>SUBTOTAL(9,BM823:BM838)</f>
        <v>0</v>
      </c>
      <c r="BN839" s="173">
        <f t="shared" si="180"/>
        <v>0</v>
      </c>
      <c r="BO839" s="173">
        <f t="shared" si="180"/>
        <v>0</v>
      </c>
      <c r="BP839" s="173">
        <f t="shared" si="180"/>
        <v>0</v>
      </c>
      <c r="BQ839" s="174">
        <f t="shared" si="180"/>
        <v>0</v>
      </c>
      <c r="BR839" s="40"/>
      <c r="BS839" s="40"/>
      <c r="BT839" s="40"/>
      <c r="BU839" s="40"/>
      <c r="BV839" s="40"/>
      <c r="BW839" s="40"/>
      <c r="BX839" s="40"/>
      <c r="BY839" s="40"/>
      <c r="BZ839" s="40"/>
      <c r="CA839" s="40"/>
      <c r="CB839" s="40"/>
      <c r="CC839" s="40"/>
      <c r="CD839" s="40"/>
      <c r="CE839" s="40"/>
      <c r="CF839" s="40"/>
      <c r="CG839" s="40"/>
      <c r="CH839" s="40"/>
      <c r="CI839" s="40"/>
      <c r="CJ839" s="40"/>
      <c r="CK839" s="40"/>
      <c r="CL839" s="40"/>
      <c r="CM839" s="40"/>
      <c r="CN839" s="40"/>
      <c r="CO839" s="40"/>
      <c r="CP839" s="40"/>
      <c r="CQ839" s="40"/>
      <c r="CR839" s="40"/>
      <c r="CS839" s="40"/>
      <c r="CT839" s="40"/>
      <c r="CU839" s="40"/>
      <c r="CV839" s="40"/>
      <c r="CW839" s="40"/>
      <c r="CX839" s="40"/>
      <c r="CY839" s="40"/>
      <c r="CZ839" s="40"/>
      <c r="DA839" s="40"/>
      <c r="DB839" s="40"/>
      <c r="DC839" s="40"/>
      <c r="DD839" s="40"/>
      <c r="DE839" s="40"/>
      <c r="DF839" s="40"/>
      <c r="DG839" s="40"/>
      <c r="DH839" s="40"/>
      <c r="DI839" s="40"/>
      <c r="DJ839" s="40"/>
      <c r="DK839" s="40"/>
      <c r="DL839" s="40"/>
      <c r="DM839" s="40"/>
      <c r="DN839" s="40"/>
      <c r="DO839" s="40"/>
      <c r="DP839" s="40"/>
      <c r="DQ839" s="40"/>
      <c r="DR839" s="40"/>
      <c r="DS839" s="40"/>
      <c r="DT839" s="40"/>
      <c r="DU839" s="40"/>
      <c r="DV839" s="40"/>
      <c r="DW839" s="40"/>
      <c r="DX839" s="40"/>
      <c r="DY839" s="40"/>
      <c r="DZ839" s="40"/>
      <c r="EA839" s="40"/>
      <c r="EB839" s="40"/>
      <c r="EC839" s="40"/>
      <c r="ED839" s="40"/>
      <c r="EE839" s="40"/>
      <c r="EF839" s="40"/>
      <c r="EG839" s="40"/>
      <c r="EH839" s="40"/>
      <c r="EI839" s="40"/>
      <c r="EJ839" s="40"/>
      <c r="EK839" s="40"/>
      <c r="EL839" s="40"/>
      <c r="EM839" s="40"/>
      <c r="EN839" s="40"/>
      <c r="EO839" s="40"/>
      <c r="EP839" s="40"/>
      <c r="EQ839" s="40"/>
      <c r="ER839" s="40"/>
      <c r="ES839" s="40"/>
      <c r="ET839" s="40"/>
      <c r="EU839" s="40"/>
      <c r="EV839" s="40"/>
      <c r="EW839" s="40"/>
      <c r="EX839" s="40"/>
      <c r="EY839" s="40"/>
      <c r="EZ839" s="40"/>
      <c r="FA839" s="40"/>
      <c r="FB839" s="40"/>
      <c r="FC839" s="40"/>
      <c r="FD839" s="40"/>
      <c r="FE839" s="40"/>
      <c r="FF839" s="40"/>
      <c r="FG839" s="40"/>
      <c r="FH839" s="40"/>
      <c r="FI839" s="40"/>
      <c r="FJ839" s="40"/>
      <c r="FK839" s="40"/>
      <c r="FL839" s="40"/>
      <c r="FM839" s="40"/>
      <c r="FN839" s="40"/>
      <c r="FO839" s="40"/>
      <c r="FP839" s="40"/>
      <c r="FQ839" s="40"/>
      <c r="FR839" s="40"/>
      <c r="FS839" s="40"/>
      <c r="FT839" s="40"/>
      <c r="FU839" s="40"/>
      <c r="FV839" s="40"/>
      <c r="FW839" s="40"/>
      <c r="FX839" s="40"/>
      <c r="FY839" s="40"/>
      <c r="FZ839" s="40"/>
      <c r="GA839" s="40"/>
      <c r="GB839" s="40"/>
      <c r="GC839" s="40"/>
      <c r="GD839" s="40"/>
      <c r="GE839" s="40"/>
      <c r="GF839" s="40"/>
      <c r="GG839" s="40"/>
      <c r="GH839" s="40"/>
      <c r="GI839" s="40"/>
      <c r="GJ839" s="40"/>
      <c r="GK839" s="40"/>
      <c r="GL839" s="40"/>
      <c r="GM839" s="40"/>
      <c r="GN839" s="40"/>
      <c r="GO839" s="40"/>
      <c r="GP839" s="40"/>
      <c r="GQ839" s="40"/>
      <c r="GR839" s="40"/>
      <c r="GS839" s="40"/>
      <c r="GT839" s="40"/>
      <c r="GU839" s="40"/>
      <c r="GV839" s="40"/>
      <c r="GW839" s="40"/>
      <c r="GX839" s="40"/>
      <c r="GY839" s="40"/>
      <c r="GZ839" s="40"/>
      <c r="HA839" s="40"/>
      <c r="HB839" s="40"/>
      <c r="HC839" s="40"/>
      <c r="HD839" s="40"/>
      <c r="HE839" s="40"/>
      <c r="HF839" s="40"/>
      <c r="HG839" s="40"/>
      <c r="HH839" s="40"/>
      <c r="HI839" s="40"/>
      <c r="HJ839" s="40"/>
      <c r="HK839" s="40"/>
      <c r="HL839" s="40"/>
      <c r="HM839" s="40"/>
      <c r="HN839" s="40"/>
      <c r="HO839" s="40"/>
      <c r="HP839" s="40"/>
      <c r="HQ839" s="40"/>
      <c r="HR839" s="40"/>
      <c r="HS839" s="40"/>
      <c r="HT839" s="40"/>
      <c r="HU839" s="40"/>
      <c r="HV839" s="40"/>
      <c r="HW839" s="40"/>
      <c r="HX839" s="40"/>
      <c r="HY839" s="40"/>
      <c r="HZ839" s="40"/>
      <c r="IA839" s="40"/>
      <c r="IB839" s="40"/>
      <c r="IC839" s="40"/>
      <c r="ID839" s="40"/>
      <c r="IE839" s="40"/>
      <c r="IF839" s="40"/>
      <c r="IG839" s="40"/>
      <c r="IH839" s="40"/>
      <c r="II839" s="40"/>
      <c r="IJ839" s="40"/>
      <c r="IK839" s="40"/>
      <c r="IL839" s="40"/>
      <c r="IM839" s="40"/>
      <c r="IN839" s="40"/>
      <c r="IO839" s="40"/>
      <c r="IP839" s="40"/>
      <c r="IQ839" s="40"/>
      <c r="IR839" s="40"/>
      <c r="IS839" s="40"/>
      <c r="IT839" s="40"/>
      <c r="IU839" s="40"/>
      <c r="IV839" s="40"/>
      <c r="IW839" s="40"/>
      <c r="IX839" s="40"/>
      <c r="IY839" s="40"/>
      <c r="IZ839" s="40"/>
      <c r="JA839" s="40"/>
      <c r="JB839" s="40"/>
      <c r="JC839" s="40"/>
      <c r="JD839" s="40"/>
      <c r="JE839" s="40"/>
      <c r="JF839" s="40"/>
      <c r="JG839" s="40"/>
      <c r="JH839" s="40"/>
      <c r="JI839" s="40"/>
      <c r="JJ839" s="40"/>
    </row>
    <row r="840" spans="1:270" ht="39.950000000000003" customHeight="1" outlineLevel="1" x14ac:dyDescent="0.3">
      <c r="A840" s="17" t="s">
        <v>1076</v>
      </c>
      <c r="B840" s="14" t="s">
        <v>1092</v>
      </c>
      <c r="C840" s="9" t="s">
        <v>28</v>
      </c>
      <c r="D840" s="66" t="s">
        <v>1093</v>
      </c>
      <c r="E840" s="158">
        <f t="shared" ref="E840:E859" si="181">F840+G840</f>
        <v>369.83000000000004</v>
      </c>
      <c r="F840" s="159">
        <f t="shared" ref="F840:F859" si="182">H840+L840+Q840+Y840+T840+AK840+AP840+AM840+AR840+AU840+AW840+BB840+BJ840</f>
        <v>144.05313000000001</v>
      </c>
      <c r="G840" s="160">
        <f t="shared" ref="G840:G859" si="183">I840+J840+K840+M840+N840+R840+S840+V840+W840+AD840+O840+X840+Z840+AA840+AB840+AC840+AE840+AF840+P840+U840+AG840+AH840+AI840+AO840+AJ840+AL840+AQ840+AN840+AS840+AV840+AX840+AY840+AZ840+BA840+BC840+BD840+BE840+BF840+BG840+BH840+BI840+AT840+BK840+BL840+BN840+BO840+BP840+BQ840+BM840</f>
        <v>225.77687</v>
      </c>
      <c r="H840" s="166"/>
      <c r="I840" s="165"/>
      <c r="J840" s="160"/>
      <c r="K840" s="160"/>
      <c r="L840" s="166">
        <v>144.05313000000001</v>
      </c>
      <c r="M840" s="165">
        <v>225.77687</v>
      </c>
      <c r="N840" s="165"/>
      <c r="O840" s="165"/>
      <c r="P840" s="160"/>
      <c r="Q840" s="166"/>
      <c r="R840" s="165"/>
      <c r="S840" s="165"/>
      <c r="T840" s="159"/>
      <c r="U840" s="160"/>
      <c r="V840" s="165"/>
      <c r="W840" s="165"/>
      <c r="X840" s="160"/>
      <c r="Y840" s="166"/>
      <c r="Z840" s="160"/>
      <c r="AA840" s="160"/>
      <c r="AB840" s="165"/>
      <c r="AC840" s="165"/>
      <c r="AD840" s="165"/>
      <c r="AE840" s="165"/>
      <c r="AF840" s="160"/>
      <c r="AG840" s="160"/>
      <c r="AH840" s="160"/>
      <c r="AI840" s="160"/>
      <c r="AJ840" s="161"/>
      <c r="AK840" s="162"/>
      <c r="AL840" s="165"/>
      <c r="AM840" s="166"/>
      <c r="AN840" s="165"/>
      <c r="AO840" s="160"/>
      <c r="AP840" s="162"/>
      <c r="AQ840" s="161"/>
      <c r="AR840" s="162"/>
      <c r="AS840" s="161"/>
      <c r="AT840" s="165"/>
      <c r="AU840" s="166"/>
      <c r="AV840" s="165"/>
      <c r="AW840" s="166"/>
      <c r="AX840" s="165"/>
      <c r="AY840" s="165"/>
      <c r="AZ840" s="165"/>
      <c r="BA840" s="158"/>
      <c r="BB840" s="166"/>
      <c r="BC840" s="165"/>
      <c r="BD840" s="165"/>
      <c r="BE840" s="165"/>
      <c r="BF840" s="165"/>
      <c r="BG840" s="165"/>
      <c r="BH840" s="165"/>
      <c r="BI840" s="165"/>
      <c r="BJ840" s="166"/>
      <c r="BK840" s="165"/>
      <c r="BL840" s="165"/>
      <c r="BM840" s="163"/>
      <c r="BN840" s="165"/>
      <c r="BO840" s="165"/>
      <c r="BP840" s="165"/>
      <c r="BQ840" s="167"/>
    </row>
    <row r="841" spans="1:270" ht="39.950000000000003" customHeight="1" outlineLevel="1" x14ac:dyDescent="0.3">
      <c r="A841" s="17" t="s">
        <v>1076</v>
      </c>
      <c r="B841" s="14" t="s">
        <v>1540</v>
      </c>
      <c r="C841" s="9" t="s">
        <v>30</v>
      </c>
      <c r="D841" s="66">
        <v>190203158201</v>
      </c>
      <c r="E841" s="158">
        <f t="shared" si="181"/>
        <v>3000</v>
      </c>
      <c r="F841" s="159">
        <f t="shared" si="182"/>
        <v>2850</v>
      </c>
      <c r="G841" s="160">
        <f t="shared" si="183"/>
        <v>150</v>
      </c>
      <c r="H841" s="166"/>
      <c r="I841" s="165"/>
      <c r="J841" s="160"/>
      <c r="K841" s="160"/>
      <c r="L841" s="166"/>
      <c r="M841" s="165"/>
      <c r="N841" s="165"/>
      <c r="O841" s="165"/>
      <c r="P841" s="160"/>
      <c r="Q841" s="166"/>
      <c r="R841" s="165"/>
      <c r="S841" s="165"/>
      <c r="T841" s="159"/>
      <c r="U841" s="160"/>
      <c r="V841" s="165"/>
      <c r="W841" s="165"/>
      <c r="X841" s="160"/>
      <c r="Y841" s="166"/>
      <c r="Z841" s="160"/>
      <c r="AA841" s="160"/>
      <c r="AB841" s="165"/>
      <c r="AC841" s="165"/>
      <c r="AD841" s="165"/>
      <c r="AE841" s="165"/>
      <c r="AF841" s="160"/>
      <c r="AG841" s="160"/>
      <c r="AH841" s="160"/>
      <c r="AI841" s="160"/>
      <c r="AJ841" s="161"/>
      <c r="AK841" s="162"/>
      <c r="AL841" s="165"/>
      <c r="AM841" s="166">
        <v>2850</v>
      </c>
      <c r="AN841" s="165">
        <v>150</v>
      </c>
      <c r="AO841" s="160"/>
      <c r="AP841" s="162"/>
      <c r="AQ841" s="161"/>
      <c r="AR841" s="162"/>
      <c r="AS841" s="161"/>
      <c r="AT841" s="165"/>
      <c r="AU841" s="166"/>
      <c r="AV841" s="165"/>
      <c r="AW841" s="166"/>
      <c r="AX841" s="165"/>
      <c r="AY841" s="165"/>
      <c r="AZ841" s="165"/>
      <c r="BA841" s="158"/>
      <c r="BB841" s="166"/>
      <c r="BC841" s="165"/>
      <c r="BD841" s="165"/>
      <c r="BE841" s="165"/>
      <c r="BF841" s="165"/>
      <c r="BG841" s="165"/>
      <c r="BH841" s="165"/>
      <c r="BI841" s="165"/>
      <c r="BJ841" s="166"/>
      <c r="BK841" s="165"/>
      <c r="BL841" s="165"/>
      <c r="BM841" s="163"/>
      <c r="BN841" s="165"/>
      <c r="BO841" s="165"/>
      <c r="BP841" s="165"/>
      <c r="BQ841" s="167"/>
    </row>
    <row r="842" spans="1:270" ht="39.950000000000003" customHeight="1" outlineLevel="1" x14ac:dyDescent="0.3">
      <c r="A842" s="17" t="s">
        <v>1076</v>
      </c>
      <c r="B842" s="14" t="s">
        <v>1144</v>
      </c>
      <c r="C842" s="9" t="s">
        <v>30</v>
      </c>
      <c r="D842" s="75" t="s">
        <v>1265</v>
      </c>
      <c r="E842" s="158">
        <f t="shared" si="181"/>
        <v>30784.074700000005</v>
      </c>
      <c r="F842" s="159">
        <f t="shared" si="182"/>
        <v>4439.8141400000004</v>
      </c>
      <c r="G842" s="160">
        <f t="shared" si="183"/>
        <v>26344.260560000002</v>
      </c>
      <c r="H842" s="166"/>
      <c r="I842" s="165"/>
      <c r="J842" s="160">
        <v>960</v>
      </c>
      <c r="K842" s="160"/>
      <c r="L842" s="166">
        <v>1335.17247</v>
      </c>
      <c r="M842" s="165">
        <v>2092.6379400000001</v>
      </c>
      <c r="N842" s="165"/>
      <c r="O842" s="165"/>
      <c r="P842" s="160"/>
      <c r="Q842" s="166"/>
      <c r="R842" s="165"/>
      <c r="S842" s="165"/>
      <c r="T842" s="159"/>
      <c r="U842" s="160"/>
      <c r="V842" s="165"/>
      <c r="W842" s="165"/>
      <c r="X842" s="160"/>
      <c r="Y842" s="166">
        <v>3104.64167</v>
      </c>
      <c r="Z842" s="160">
        <v>1034.8805600000001</v>
      </c>
      <c r="AA842" s="160">
        <v>13243.72424</v>
      </c>
      <c r="AB842" s="165"/>
      <c r="AC842" s="165"/>
      <c r="AD842" s="165"/>
      <c r="AE842" s="165"/>
      <c r="AF842" s="160"/>
      <c r="AG842" s="160"/>
      <c r="AH842" s="160"/>
      <c r="AI842" s="160"/>
      <c r="AJ842" s="161"/>
      <c r="AK842" s="162"/>
      <c r="AL842" s="165"/>
      <c r="AM842" s="166"/>
      <c r="AN842" s="165"/>
      <c r="AO842" s="160"/>
      <c r="AP842" s="162"/>
      <c r="AQ842" s="161"/>
      <c r="AR842" s="162"/>
      <c r="AS842" s="161"/>
      <c r="AT842" s="165"/>
      <c r="AU842" s="166"/>
      <c r="AV842" s="165"/>
      <c r="AW842" s="166"/>
      <c r="AX842" s="165"/>
      <c r="AY842" s="165"/>
      <c r="AZ842" s="165"/>
      <c r="BA842" s="158"/>
      <c r="BB842" s="166"/>
      <c r="BC842" s="165"/>
      <c r="BD842" s="165"/>
      <c r="BE842" s="165">
        <v>1455.44784</v>
      </c>
      <c r="BF842" s="165"/>
      <c r="BG842" s="165"/>
      <c r="BH842" s="165">
        <v>6000</v>
      </c>
      <c r="BI842" s="165"/>
      <c r="BJ842" s="166"/>
      <c r="BK842" s="165"/>
      <c r="BL842" s="165"/>
      <c r="BM842" s="163"/>
      <c r="BN842" s="165"/>
      <c r="BO842" s="165">
        <v>1557.56998</v>
      </c>
      <c r="BP842" s="165"/>
      <c r="BQ842" s="167"/>
    </row>
    <row r="843" spans="1:270" ht="60.75" customHeight="1" outlineLevel="1" x14ac:dyDescent="0.3">
      <c r="A843" s="17" t="s">
        <v>1076</v>
      </c>
      <c r="B843" s="14" t="s">
        <v>1544</v>
      </c>
      <c r="C843" s="9" t="s">
        <v>30</v>
      </c>
      <c r="D843" s="75" t="s">
        <v>1576</v>
      </c>
      <c r="E843" s="158">
        <f t="shared" si="181"/>
        <v>1478</v>
      </c>
      <c r="F843" s="159">
        <f t="shared" si="182"/>
        <v>1404.1</v>
      </c>
      <c r="G843" s="160">
        <f t="shared" si="183"/>
        <v>73.900000000000006</v>
      </c>
      <c r="H843" s="166"/>
      <c r="I843" s="165"/>
      <c r="J843" s="160"/>
      <c r="K843" s="160"/>
      <c r="L843" s="166"/>
      <c r="M843" s="165"/>
      <c r="N843" s="165"/>
      <c r="O843" s="165"/>
      <c r="P843" s="160"/>
      <c r="Q843" s="166"/>
      <c r="R843" s="165"/>
      <c r="S843" s="165"/>
      <c r="T843" s="159"/>
      <c r="U843" s="160"/>
      <c r="V843" s="165"/>
      <c r="W843" s="165"/>
      <c r="X843" s="160"/>
      <c r="Y843" s="166"/>
      <c r="Z843" s="160"/>
      <c r="AA843" s="160"/>
      <c r="AB843" s="165"/>
      <c r="AC843" s="165"/>
      <c r="AD843" s="165"/>
      <c r="AE843" s="165"/>
      <c r="AF843" s="160"/>
      <c r="AG843" s="160"/>
      <c r="AH843" s="160"/>
      <c r="AI843" s="160"/>
      <c r="AJ843" s="161"/>
      <c r="AK843" s="162"/>
      <c r="AL843" s="165"/>
      <c r="AM843" s="166">
        <v>1404.1</v>
      </c>
      <c r="AN843" s="165">
        <v>73.900000000000006</v>
      </c>
      <c r="AO843" s="160"/>
      <c r="AP843" s="162"/>
      <c r="AQ843" s="161"/>
      <c r="AR843" s="162"/>
      <c r="AS843" s="161"/>
      <c r="AT843" s="165"/>
      <c r="AU843" s="166"/>
      <c r="AV843" s="165"/>
      <c r="AW843" s="166"/>
      <c r="AX843" s="165"/>
      <c r="AY843" s="165"/>
      <c r="AZ843" s="165"/>
      <c r="BA843" s="158"/>
      <c r="BB843" s="166"/>
      <c r="BC843" s="165"/>
      <c r="BD843" s="165"/>
      <c r="BE843" s="165"/>
      <c r="BF843" s="165"/>
      <c r="BG843" s="165"/>
      <c r="BH843" s="165"/>
      <c r="BI843" s="165"/>
      <c r="BJ843" s="166"/>
      <c r="BK843" s="165"/>
      <c r="BL843" s="165"/>
      <c r="BM843" s="163"/>
      <c r="BN843" s="165"/>
      <c r="BO843" s="165"/>
      <c r="BP843" s="165"/>
      <c r="BQ843" s="167"/>
    </row>
    <row r="844" spans="1:270" ht="39.950000000000003" customHeight="1" outlineLevel="1" x14ac:dyDescent="0.3">
      <c r="A844" s="17" t="s">
        <v>1076</v>
      </c>
      <c r="B844" s="14" t="s">
        <v>1080</v>
      </c>
      <c r="C844" s="9" t="s">
        <v>30</v>
      </c>
      <c r="D844" s="9" t="s">
        <v>1264</v>
      </c>
      <c r="E844" s="158">
        <f t="shared" si="181"/>
        <v>16.322340000000001</v>
      </c>
      <c r="F844" s="159">
        <f t="shared" si="182"/>
        <v>6.3577399999999997</v>
      </c>
      <c r="G844" s="160">
        <f t="shared" si="183"/>
        <v>9.9646000000000008</v>
      </c>
      <c r="H844" s="166"/>
      <c r="I844" s="165"/>
      <c r="J844" s="160"/>
      <c r="K844" s="160"/>
      <c r="L844" s="166">
        <v>6.3577399999999997</v>
      </c>
      <c r="M844" s="165">
        <v>9.9646000000000008</v>
      </c>
      <c r="N844" s="165"/>
      <c r="O844" s="165"/>
      <c r="P844" s="160"/>
      <c r="Q844" s="166"/>
      <c r="R844" s="165"/>
      <c r="S844" s="165"/>
      <c r="T844" s="159"/>
      <c r="U844" s="160"/>
      <c r="V844" s="165"/>
      <c r="W844" s="165"/>
      <c r="X844" s="160"/>
      <c r="Y844" s="166"/>
      <c r="Z844" s="160"/>
      <c r="AA844" s="160"/>
      <c r="AB844" s="165"/>
      <c r="AC844" s="165"/>
      <c r="AD844" s="165"/>
      <c r="AE844" s="165"/>
      <c r="AF844" s="160"/>
      <c r="AG844" s="160"/>
      <c r="AH844" s="160"/>
      <c r="AI844" s="160"/>
      <c r="AJ844" s="161"/>
      <c r="AK844" s="162"/>
      <c r="AL844" s="165"/>
      <c r="AM844" s="166"/>
      <c r="AN844" s="165"/>
      <c r="AO844" s="160"/>
      <c r="AP844" s="162"/>
      <c r="AQ844" s="161"/>
      <c r="AR844" s="162"/>
      <c r="AS844" s="161"/>
      <c r="AT844" s="165"/>
      <c r="AU844" s="166"/>
      <c r="AV844" s="165"/>
      <c r="AW844" s="166"/>
      <c r="AX844" s="165"/>
      <c r="AY844" s="165"/>
      <c r="AZ844" s="165"/>
      <c r="BA844" s="158"/>
      <c r="BB844" s="166"/>
      <c r="BC844" s="165"/>
      <c r="BD844" s="165"/>
      <c r="BE844" s="165"/>
      <c r="BF844" s="165"/>
      <c r="BG844" s="165"/>
      <c r="BH844" s="165"/>
      <c r="BI844" s="165"/>
      <c r="BJ844" s="166"/>
      <c r="BK844" s="165"/>
      <c r="BL844" s="165"/>
      <c r="BM844" s="163"/>
      <c r="BN844" s="165"/>
      <c r="BO844" s="165"/>
      <c r="BP844" s="165"/>
      <c r="BQ844" s="167"/>
    </row>
    <row r="845" spans="1:270" ht="39.950000000000003" customHeight="1" outlineLevel="1" x14ac:dyDescent="0.3">
      <c r="A845" s="17" t="s">
        <v>1076</v>
      </c>
      <c r="B845" s="14" t="s">
        <v>1083</v>
      </c>
      <c r="C845" s="9" t="s">
        <v>30</v>
      </c>
      <c r="D845" s="69" t="s">
        <v>1084</v>
      </c>
      <c r="E845" s="158">
        <f t="shared" si="181"/>
        <v>174.72</v>
      </c>
      <c r="F845" s="159">
        <f t="shared" si="182"/>
        <v>0</v>
      </c>
      <c r="G845" s="160">
        <f t="shared" si="183"/>
        <v>174.72</v>
      </c>
      <c r="H845" s="166"/>
      <c r="I845" s="165"/>
      <c r="J845" s="160"/>
      <c r="K845" s="160"/>
      <c r="L845" s="166"/>
      <c r="M845" s="165"/>
      <c r="N845" s="165"/>
      <c r="O845" s="165"/>
      <c r="P845" s="160"/>
      <c r="Q845" s="166"/>
      <c r="R845" s="165"/>
      <c r="S845" s="165"/>
      <c r="T845" s="159"/>
      <c r="U845" s="160"/>
      <c r="V845" s="165"/>
      <c r="W845" s="165">
        <v>174.72</v>
      </c>
      <c r="X845" s="160"/>
      <c r="Y845" s="166"/>
      <c r="Z845" s="160"/>
      <c r="AA845" s="160"/>
      <c r="AB845" s="165"/>
      <c r="AC845" s="165"/>
      <c r="AD845" s="165"/>
      <c r="AE845" s="165"/>
      <c r="AF845" s="160"/>
      <c r="AG845" s="160"/>
      <c r="AH845" s="160"/>
      <c r="AI845" s="160"/>
      <c r="AJ845" s="161"/>
      <c r="AK845" s="162"/>
      <c r="AL845" s="165"/>
      <c r="AM845" s="166"/>
      <c r="AN845" s="165"/>
      <c r="AO845" s="160"/>
      <c r="AP845" s="162"/>
      <c r="AQ845" s="161"/>
      <c r="AR845" s="162"/>
      <c r="AS845" s="161"/>
      <c r="AT845" s="165"/>
      <c r="AU845" s="166"/>
      <c r="AV845" s="165"/>
      <c r="AW845" s="166"/>
      <c r="AX845" s="165"/>
      <c r="AY845" s="165"/>
      <c r="AZ845" s="165"/>
      <c r="BA845" s="158"/>
      <c r="BB845" s="166"/>
      <c r="BC845" s="165"/>
      <c r="BD845" s="165"/>
      <c r="BE845" s="165"/>
      <c r="BF845" s="165"/>
      <c r="BG845" s="165"/>
      <c r="BH845" s="165"/>
      <c r="BI845" s="165"/>
      <c r="BJ845" s="166"/>
      <c r="BK845" s="165"/>
      <c r="BL845" s="165"/>
      <c r="BM845" s="163"/>
      <c r="BN845" s="165"/>
      <c r="BO845" s="165"/>
      <c r="BP845" s="165"/>
      <c r="BQ845" s="167"/>
    </row>
    <row r="846" spans="1:270" ht="39.950000000000003" customHeight="1" outlineLevel="1" x14ac:dyDescent="0.3">
      <c r="A846" s="17" t="s">
        <v>1076</v>
      </c>
      <c r="B846" s="14" t="s">
        <v>1395</v>
      </c>
      <c r="C846" s="9" t="s">
        <v>30</v>
      </c>
      <c r="D846" s="69">
        <v>190206593481</v>
      </c>
      <c r="E846" s="158">
        <f t="shared" si="181"/>
        <v>3209.8209999999999</v>
      </c>
      <c r="F846" s="159">
        <f t="shared" si="182"/>
        <v>0</v>
      </c>
      <c r="G846" s="160">
        <f t="shared" si="183"/>
        <v>3209.8209999999999</v>
      </c>
      <c r="H846" s="166"/>
      <c r="I846" s="165"/>
      <c r="J846" s="160"/>
      <c r="K846" s="160"/>
      <c r="L846" s="166"/>
      <c r="M846" s="165"/>
      <c r="N846" s="165"/>
      <c r="O846" s="165"/>
      <c r="P846" s="160"/>
      <c r="Q846" s="166"/>
      <c r="R846" s="165"/>
      <c r="S846" s="165">
        <v>48.72</v>
      </c>
      <c r="T846" s="159"/>
      <c r="U846" s="160"/>
      <c r="V846" s="165"/>
      <c r="W846" s="165">
        <f>191.36</f>
        <v>191.36</v>
      </c>
      <c r="X846" s="160"/>
      <c r="Y846" s="166"/>
      <c r="Z846" s="160"/>
      <c r="AA846" s="160"/>
      <c r="AB846" s="165"/>
      <c r="AC846" s="165"/>
      <c r="AD846" s="165"/>
      <c r="AE846" s="165"/>
      <c r="AF846" s="160"/>
      <c r="AG846" s="160"/>
      <c r="AH846" s="160"/>
      <c r="AI846" s="160"/>
      <c r="AJ846" s="161">
        <v>2969.741</v>
      </c>
      <c r="AK846" s="162"/>
      <c r="AL846" s="165"/>
      <c r="AM846" s="166"/>
      <c r="AN846" s="165"/>
      <c r="AO846" s="160"/>
      <c r="AP846" s="162"/>
      <c r="AQ846" s="161"/>
      <c r="AR846" s="162"/>
      <c r="AS846" s="161"/>
      <c r="AT846" s="165"/>
      <c r="AU846" s="166"/>
      <c r="AV846" s="165"/>
      <c r="AW846" s="166"/>
      <c r="AX846" s="165"/>
      <c r="AY846" s="165"/>
      <c r="AZ846" s="165"/>
      <c r="BA846" s="158"/>
      <c r="BB846" s="166"/>
      <c r="BC846" s="165"/>
      <c r="BD846" s="165"/>
      <c r="BE846" s="165"/>
      <c r="BF846" s="165"/>
      <c r="BG846" s="165"/>
      <c r="BH846" s="165"/>
      <c r="BI846" s="165"/>
      <c r="BJ846" s="166"/>
      <c r="BK846" s="165"/>
      <c r="BL846" s="165"/>
      <c r="BM846" s="163"/>
      <c r="BN846" s="165"/>
      <c r="BO846" s="165"/>
      <c r="BP846" s="165"/>
      <c r="BQ846" s="167"/>
    </row>
    <row r="847" spans="1:270" ht="39.950000000000003" customHeight="1" outlineLevel="1" x14ac:dyDescent="0.3">
      <c r="A847" s="17" t="s">
        <v>1076</v>
      </c>
      <c r="B847" s="14" t="s">
        <v>1081</v>
      </c>
      <c r="C847" s="9" t="s">
        <v>30</v>
      </c>
      <c r="D847" s="69" t="s">
        <v>1082</v>
      </c>
      <c r="E847" s="158">
        <f t="shared" si="181"/>
        <v>224.64</v>
      </c>
      <c r="F847" s="159">
        <f t="shared" si="182"/>
        <v>0</v>
      </c>
      <c r="G847" s="160">
        <f t="shared" si="183"/>
        <v>224.64</v>
      </c>
      <c r="H847" s="166"/>
      <c r="I847" s="165"/>
      <c r="J847" s="160"/>
      <c r="K847" s="160"/>
      <c r="L847" s="166"/>
      <c r="M847" s="165"/>
      <c r="N847" s="165"/>
      <c r="O847" s="165"/>
      <c r="P847" s="160"/>
      <c r="Q847" s="166"/>
      <c r="R847" s="165"/>
      <c r="S847" s="165"/>
      <c r="T847" s="159"/>
      <c r="U847" s="160"/>
      <c r="V847" s="165"/>
      <c r="W847" s="165">
        <v>224.64</v>
      </c>
      <c r="X847" s="160"/>
      <c r="Y847" s="166"/>
      <c r="Z847" s="160"/>
      <c r="AA847" s="160"/>
      <c r="AB847" s="165"/>
      <c r="AC847" s="165"/>
      <c r="AD847" s="165"/>
      <c r="AE847" s="165"/>
      <c r="AF847" s="160"/>
      <c r="AG847" s="160"/>
      <c r="AH847" s="160"/>
      <c r="AI847" s="160"/>
      <c r="AJ847" s="161"/>
      <c r="AK847" s="162"/>
      <c r="AL847" s="165"/>
      <c r="AM847" s="166"/>
      <c r="AN847" s="165"/>
      <c r="AO847" s="160"/>
      <c r="AP847" s="162"/>
      <c r="AQ847" s="161"/>
      <c r="AR847" s="162"/>
      <c r="AS847" s="161"/>
      <c r="AT847" s="165"/>
      <c r="AU847" s="166"/>
      <c r="AV847" s="165"/>
      <c r="AW847" s="166"/>
      <c r="AX847" s="165"/>
      <c r="AY847" s="165"/>
      <c r="AZ847" s="165"/>
      <c r="BA847" s="158"/>
      <c r="BB847" s="166"/>
      <c r="BC847" s="165"/>
      <c r="BD847" s="165"/>
      <c r="BE847" s="165"/>
      <c r="BF847" s="165"/>
      <c r="BG847" s="165"/>
      <c r="BH847" s="165"/>
      <c r="BI847" s="165"/>
      <c r="BJ847" s="166"/>
      <c r="BK847" s="165"/>
      <c r="BL847" s="165"/>
      <c r="BM847" s="163"/>
      <c r="BN847" s="165"/>
      <c r="BO847" s="165"/>
      <c r="BP847" s="165"/>
      <c r="BQ847" s="167"/>
    </row>
    <row r="848" spans="1:270" ht="39.950000000000003" customHeight="1" outlineLevel="1" x14ac:dyDescent="0.3">
      <c r="A848" s="17" t="s">
        <v>1076</v>
      </c>
      <c r="B848" s="14" t="s">
        <v>1311</v>
      </c>
      <c r="C848" s="9" t="s">
        <v>30</v>
      </c>
      <c r="D848" s="69">
        <v>244202562138</v>
      </c>
      <c r="E848" s="158">
        <f t="shared" si="181"/>
        <v>572.72555999999997</v>
      </c>
      <c r="F848" s="159">
        <f t="shared" si="182"/>
        <v>39.614609999999999</v>
      </c>
      <c r="G848" s="160">
        <f t="shared" si="183"/>
        <v>533.11095</v>
      </c>
      <c r="H848" s="166"/>
      <c r="I848" s="165"/>
      <c r="J848" s="160"/>
      <c r="K848" s="160"/>
      <c r="L848" s="166">
        <v>39.614609999999999</v>
      </c>
      <c r="M848" s="165">
        <v>62.088639999999998</v>
      </c>
      <c r="N848" s="165"/>
      <c r="O848" s="165"/>
      <c r="P848" s="160"/>
      <c r="Q848" s="166"/>
      <c r="R848" s="165"/>
      <c r="S848" s="165"/>
      <c r="T848" s="159"/>
      <c r="U848" s="160"/>
      <c r="V848" s="165"/>
      <c r="W848" s="165"/>
      <c r="X848" s="160"/>
      <c r="Y848" s="166"/>
      <c r="Z848" s="160"/>
      <c r="AA848" s="160"/>
      <c r="AB848" s="165"/>
      <c r="AC848" s="165"/>
      <c r="AD848" s="165"/>
      <c r="AE848" s="165"/>
      <c r="AF848" s="160"/>
      <c r="AG848" s="160"/>
      <c r="AH848" s="160"/>
      <c r="AI848" s="160"/>
      <c r="AJ848" s="161"/>
      <c r="AK848" s="162"/>
      <c r="AL848" s="165"/>
      <c r="AM848" s="166"/>
      <c r="AN848" s="165"/>
      <c r="AO848" s="160"/>
      <c r="AP848" s="162"/>
      <c r="AQ848" s="161"/>
      <c r="AR848" s="162"/>
      <c r="AS848" s="161"/>
      <c r="AT848" s="165"/>
      <c r="AU848" s="166"/>
      <c r="AV848" s="165"/>
      <c r="AW848" s="166"/>
      <c r="AX848" s="165"/>
      <c r="AY848" s="165"/>
      <c r="AZ848" s="165"/>
      <c r="BA848" s="158"/>
      <c r="BB848" s="166"/>
      <c r="BC848" s="165"/>
      <c r="BD848" s="165"/>
      <c r="BE848" s="165"/>
      <c r="BF848" s="165"/>
      <c r="BG848" s="165"/>
      <c r="BH848" s="165"/>
      <c r="BI848" s="165"/>
      <c r="BJ848" s="166"/>
      <c r="BK848" s="165"/>
      <c r="BL848" s="165"/>
      <c r="BM848" s="163"/>
      <c r="BN848" s="165"/>
      <c r="BO848" s="165">
        <v>471.02231</v>
      </c>
      <c r="BP848" s="165"/>
      <c r="BQ848" s="167"/>
    </row>
    <row r="849" spans="1:270" ht="39.950000000000003" customHeight="1" outlineLevel="1" x14ac:dyDescent="0.3">
      <c r="A849" s="17" t="s">
        <v>1076</v>
      </c>
      <c r="B849" s="14" t="s">
        <v>1085</v>
      </c>
      <c r="C849" s="9" t="s">
        <v>30</v>
      </c>
      <c r="D849" s="69">
        <v>244203125003</v>
      </c>
      <c r="E849" s="158">
        <f t="shared" si="181"/>
        <v>48.019550000000002</v>
      </c>
      <c r="F849" s="159">
        <f t="shared" si="182"/>
        <v>18.704180000000001</v>
      </c>
      <c r="G849" s="160">
        <f t="shared" si="183"/>
        <v>29.315370000000001</v>
      </c>
      <c r="H849" s="166"/>
      <c r="I849" s="165"/>
      <c r="J849" s="160"/>
      <c r="K849" s="160"/>
      <c r="L849" s="166">
        <v>18.704180000000001</v>
      </c>
      <c r="M849" s="165">
        <v>29.315370000000001</v>
      </c>
      <c r="N849" s="165"/>
      <c r="O849" s="165"/>
      <c r="P849" s="160"/>
      <c r="Q849" s="166"/>
      <c r="R849" s="165"/>
      <c r="S849" s="165"/>
      <c r="T849" s="159"/>
      <c r="U849" s="160"/>
      <c r="V849" s="165"/>
      <c r="W849" s="165"/>
      <c r="X849" s="160"/>
      <c r="Y849" s="166"/>
      <c r="Z849" s="160"/>
      <c r="AA849" s="160"/>
      <c r="AB849" s="165"/>
      <c r="AC849" s="165"/>
      <c r="AD849" s="165"/>
      <c r="AE849" s="165"/>
      <c r="AF849" s="160"/>
      <c r="AG849" s="160"/>
      <c r="AH849" s="160"/>
      <c r="AI849" s="160"/>
      <c r="AJ849" s="161"/>
      <c r="AK849" s="162"/>
      <c r="AL849" s="165"/>
      <c r="AM849" s="166"/>
      <c r="AN849" s="165"/>
      <c r="AO849" s="160"/>
      <c r="AP849" s="162"/>
      <c r="AQ849" s="161"/>
      <c r="AR849" s="162"/>
      <c r="AS849" s="161"/>
      <c r="AT849" s="165"/>
      <c r="AU849" s="166"/>
      <c r="AV849" s="165"/>
      <c r="AW849" s="166"/>
      <c r="AX849" s="165"/>
      <c r="AY849" s="165"/>
      <c r="AZ849" s="165"/>
      <c r="BA849" s="158"/>
      <c r="BB849" s="166"/>
      <c r="BC849" s="165"/>
      <c r="BD849" s="165"/>
      <c r="BE849" s="165"/>
      <c r="BF849" s="165"/>
      <c r="BG849" s="165"/>
      <c r="BH849" s="165"/>
      <c r="BI849" s="165"/>
      <c r="BJ849" s="166"/>
      <c r="BK849" s="165"/>
      <c r="BL849" s="165"/>
      <c r="BM849" s="163"/>
      <c r="BN849" s="165"/>
      <c r="BO849" s="165"/>
      <c r="BP849" s="165"/>
      <c r="BQ849" s="167"/>
    </row>
    <row r="850" spans="1:270" ht="39.950000000000003" customHeight="1" outlineLevel="1" x14ac:dyDescent="0.3">
      <c r="A850" s="17" t="s">
        <v>1076</v>
      </c>
      <c r="B850" s="14" t="s">
        <v>1527</v>
      </c>
      <c r="C850" s="9" t="s">
        <v>30</v>
      </c>
      <c r="D850" s="69">
        <v>246309291830</v>
      </c>
      <c r="E850" s="158">
        <f t="shared" si="181"/>
        <v>91.91</v>
      </c>
      <c r="F850" s="159">
        <f t="shared" si="182"/>
        <v>0</v>
      </c>
      <c r="G850" s="160">
        <f t="shared" si="183"/>
        <v>91.91</v>
      </c>
      <c r="H850" s="166"/>
      <c r="I850" s="165"/>
      <c r="J850" s="160"/>
      <c r="K850" s="160"/>
      <c r="L850" s="166"/>
      <c r="M850" s="165"/>
      <c r="N850" s="165"/>
      <c r="O850" s="165"/>
      <c r="P850" s="160"/>
      <c r="Q850" s="166"/>
      <c r="R850" s="165"/>
      <c r="S850" s="165"/>
      <c r="T850" s="159"/>
      <c r="U850" s="160"/>
      <c r="V850" s="165"/>
      <c r="W850" s="165"/>
      <c r="X850" s="160"/>
      <c r="Y850" s="166"/>
      <c r="Z850" s="160"/>
      <c r="AA850" s="160"/>
      <c r="AB850" s="165"/>
      <c r="AC850" s="165"/>
      <c r="AD850" s="165"/>
      <c r="AE850" s="165"/>
      <c r="AF850" s="160"/>
      <c r="AG850" s="160"/>
      <c r="AH850" s="160"/>
      <c r="AI850" s="160"/>
      <c r="AJ850" s="161"/>
      <c r="AK850" s="162"/>
      <c r="AL850" s="165"/>
      <c r="AM850" s="166"/>
      <c r="AN850" s="165"/>
      <c r="AO850" s="160"/>
      <c r="AP850" s="162"/>
      <c r="AQ850" s="161"/>
      <c r="AR850" s="162"/>
      <c r="AS850" s="161"/>
      <c r="AT850" s="165"/>
      <c r="AU850" s="166"/>
      <c r="AV850" s="165"/>
      <c r="AW850" s="166"/>
      <c r="AX850" s="165"/>
      <c r="AY850" s="165"/>
      <c r="AZ850" s="165"/>
      <c r="BA850" s="158"/>
      <c r="BB850" s="166"/>
      <c r="BC850" s="165"/>
      <c r="BD850" s="165"/>
      <c r="BE850" s="165"/>
      <c r="BF850" s="165"/>
      <c r="BG850" s="165"/>
      <c r="BH850" s="165"/>
      <c r="BI850" s="165"/>
      <c r="BJ850" s="166"/>
      <c r="BK850" s="165"/>
      <c r="BL850" s="165"/>
      <c r="BM850" s="163"/>
      <c r="BN850" s="165"/>
      <c r="BO850" s="165">
        <v>91.91</v>
      </c>
      <c r="BP850" s="165"/>
      <c r="BQ850" s="167"/>
    </row>
    <row r="851" spans="1:270" ht="39.950000000000003" customHeight="1" outlineLevel="1" x14ac:dyDescent="0.3">
      <c r="A851" s="17" t="s">
        <v>1076</v>
      </c>
      <c r="B851" s="14" t="s">
        <v>1546</v>
      </c>
      <c r="C851" s="9" t="s">
        <v>30</v>
      </c>
      <c r="D851" s="69">
        <v>244201758145</v>
      </c>
      <c r="E851" s="158">
        <f t="shared" si="181"/>
        <v>2881.8999999999996</v>
      </c>
      <c r="F851" s="159">
        <f t="shared" si="182"/>
        <v>2737.8049999999998</v>
      </c>
      <c r="G851" s="160">
        <f t="shared" si="183"/>
        <v>144.095</v>
      </c>
      <c r="H851" s="166"/>
      <c r="I851" s="165"/>
      <c r="J851" s="160"/>
      <c r="K851" s="160"/>
      <c r="L851" s="166"/>
      <c r="M851" s="165"/>
      <c r="N851" s="165"/>
      <c r="O851" s="165"/>
      <c r="P851" s="160"/>
      <c r="Q851" s="166"/>
      <c r="R851" s="165"/>
      <c r="S851" s="165"/>
      <c r="T851" s="159"/>
      <c r="U851" s="160"/>
      <c r="V851" s="165"/>
      <c r="W851" s="165"/>
      <c r="X851" s="160"/>
      <c r="Y851" s="166"/>
      <c r="Z851" s="160"/>
      <c r="AA851" s="160"/>
      <c r="AB851" s="165"/>
      <c r="AC851" s="165"/>
      <c r="AD851" s="165"/>
      <c r="AE851" s="165"/>
      <c r="AF851" s="160"/>
      <c r="AG851" s="160"/>
      <c r="AH851" s="160"/>
      <c r="AI851" s="160"/>
      <c r="AJ851" s="161"/>
      <c r="AK851" s="162"/>
      <c r="AL851" s="165"/>
      <c r="AM851" s="166">
        <v>2737.8049999999998</v>
      </c>
      <c r="AN851" s="165">
        <v>144.095</v>
      </c>
      <c r="AO851" s="160"/>
      <c r="AP851" s="162"/>
      <c r="AQ851" s="161"/>
      <c r="AR851" s="162"/>
      <c r="AS851" s="161"/>
      <c r="AT851" s="165"/>
      <c r="AU851" s="166"/>
      <c r="AV851" s="165"/>
      <c r="AW851" s="166"/>
      <c r="AX851" s="165"/>
      <c r="AY851" s="165"/>
      <c r="AZ851" s="165"/>
      <c r="BA851" s="158"/>
      <c r="BB851" s="166"/>
      <c r="BC851" s="165"/>
      <c r="BD851" s="165"/>
      <c r="BE851" s="165"/>
      <c r="BF851" s="165"/>
      <c r="BG851" s="165"/>
      <c r="BH851" s="165"/>
      <c r="BI851" s="165"/>
      <c r="BJ851" s="166"/>
      <c r="BK851" s="165"/>
      <c r="BL851" s="165"/>
      <c r="BM851" s="163"/>
      <c r="BN851" s="165"/>
      <c r="BO851" s="165"/>
      <c r="BP851" s="165"/>
      <c r="BQ851" s="167"/>
    </row>
    <row r="852" spans="1:270" ht="39.950000000000003" customHeight="1" outlineLevel="1" x14ac:dyDescent="0.3">
      <c r="A852" s="17" t="s">
        <v>1076</v>
      </c>
      <c r="B852" s="14" t="s">
        <v>1541</v>
      </c>
      <c r="C852" s="9" t="s">
        <v>30</v>
      </c>
      <c r="D852" s="69">
        <v>753705665956</v>
      </c>
      <c r="E852" s="158">
        <f t="shared" si="181"/>
        <v>3000</v>
      </c>
      <c r="F852" s="159">
        <f t="shared" si="182"/>
        <v>2850</v>
      </c>
      <c r="G852" s="160">
        <f t="shared" si="183"/>
        <v>150</v>
      </c>
      <c r="H852" s="166"/>
      <c r="I852" s="165"/>
      <c r="J852" s="160"/>
      <c r="K852" s="160"/>
      <c r="L852" s="166"/>
      <c r="M852" s="165"/>
      <c r="N852" s="165"/>
      <c r="O852" s="165"/>
      <c r="P852" s="160"/>
      <c r="Q852" s="166"/>
      <c r="R852" s="165"/>
      <c r="S852" s="165"/>
      <c r="T852" s="159"/>
      <c r="U852" s="160"/>
      <c r="V852" s="165"/>
      <c r="W852" s="165"/>
      <c r="X852" s="160"/>
      <c r="Y852" s="166"/>
      <c r="Z852" s="160"/>
      <c r="AA852" s="160"/>
      <c r="AB852" s="165"/>
      <c r="AC852" s="165"/>
      <c r="AD852" s="165"/>
      <c r="AE852" s="165"/>
      <c r="AF852" s="160"/>
      <c r="AG852" s="160"/>
      <c r="AH852" s="160"/>
      <c r="AI852" s="160"/>
      <c r="AJ852" s="161"/>
      <c r="AK852" s="162"/>
      <c r="AL852" s="165"/>
      <c r="AM852" s="166">
        <v>2850</v>
      </c>
      <c r="AN852" s="165">
        <v>150</v>
      </c>
      <c r="AO852" s="160"/>
      <c r="AP852" s="162"/>
      <c r="AQ852" s="161"/>
      <c r="AR852" s="162"/>
      <c r="AS852" s="161"/>
      <c r="AT852" s="165"/>
      <c r="AU852" s="166"/>
      <c r="AV852" s="165"/>
      <c r="AW852" s="166"/>
      <c r="AX852" s="165"/>
      <c r="AY852" s="165"/>
      <c r="AZ852" s="165"/>
      <c r="BA852" s="158"/>
      <c r="BB852" s="166"/>
      <c r="BC852" s="165"/>
      <c r="BD852" s="165"/>
      <c r="BE852" s="165"/>
      <c r="BF852" s="165"/>
      <c r="BG852" s="165"/>
      <c r="BH852" s="165"/>
      <c r="BI852" s="165"/>
      <c r="BJ852" s="166"/>
      <c r="BK852" s="165"/>
      <c r="BL852" s="165"/>
      <c r="BM852" s="163"/>
      <c r="BN852" s="165"/>
      <c r="BO852" s="165"/>
      <c r="BP852" s="165"/>
      <c r="BQ852" s="167"/>
    </row>
    <row r="853" spans="1:270" ht="39.950000000000003" customHeight="1" outlineLevel="1" x14ac:dyDescent="0.3">
      <c r="A853" s="17" t="s">
        <v>1076</v>
      </c>
      <c r="B853" s="14" t="s">
        <v>1528</v>
      </c>
      <c r="C853" s="9" t="s">
        <v>30</v>
      </c>
      <c r="D853" s="69">
        <v>244201027811</v>
      </c>
      <c r="E853" s="158">
        <f t="shared" si="181"/>
        <v>108.288</v>
      </c>
      <c r="F853" s="159">
        <f t="shared" si="182"/>
        <v>0</v>
      </c>
      <c r="G853" s="160">
        <f t="shared" si="183"/>
        <v>108.288</v>
      </c>
      <c r="H853" s="166"/>
      <c r="I853" s="165"/>
      <c r="J853" s="160"/>
      <c r="K853" s="160"/>
      <c r="L853" s="166"/>
      <c r="M853" s="165"/>
      <c r="N853" s="165"/>
      <c r="O853" s="165"/>
      <c r="P853" s="160"/>
      <c r="Q853" s="166"/>
      <c r="R853" s="165"/>
      <c r="S853" s="165"/>
      <c r="T853" s="159"/>
      <c r="U853" s="160"/>
      <c r="V853" s="165"/>
      <c r="W853" s="165"/>
      <c r="X853" s="160"/>
      <c r="Y853" s="166"/>
      <c r="Z853" s="160"/>
      <c r="AA853" s="160"/>
      <c r="AB853" s="165"/>
      <c r="AC853" s="165"/>
      <c r="AD853" s="165"/>
      <c r="AE853" s="165"/>
      <c r="AF853" s="160"/>
      <c r="AG853" s="160"/>
      <c r="AH853" s="160"/>
      <c r="AI853" s="160"/>
      <c r="AJ853" s="161"/>
      <c r="AK853" s="162"/>
      <c r="AL853" s="165"/>
      <c r="AM853" s="166"/>
      <c r="AN853" s="165"/>
      <c r="AO853" s="160"/>
      <c r="AP853" s="162"/>
      <c r="AQ853" s="161"/>
      <c r="AR853" s="162"/>
      <c r="AS853" s="161"/>
      <c r="AT853" s="165"/>
      <c r="AU853" s="166"/>
      <c r="AV853" s="165"/>
      <c r="AW853" s="166"/>
      <c r="AX853" s="165"/>
      <c r="AY853" s="165"/>
      <c r="AZ853" s="165"/>
      <c r="BA853" s="158"/>
      <c r="BB853" s="166"/>
      <c r="BC853" s="165"/>
      <c r="BD853" s="165"/>
      <c r="BE853" s="165"/>
      <c r="BF853" s="165"/>
      <c r="BG853" s="165"/>
      <c r="BH853" s="165"/>
      <c r="BI853" s="165"/>
      <c r="BJ853" s="166"/>
      <c r="BK853" s="165"/>
      <c r="BL853" s="165"/>
      <c r="BM853" s="163"/>
      <c r="BN853" s="165"/>
      <c r="BO853" s="165">
        <v>108.288</v>
      </c>
      <c r="BP853" s="165"/>
      <c r="BQ853" s="167"/>
    </row>
    <row r="854" spans="1:270" ht="39.950000000000003" customHeight="1" outlineLevel="1" x14ac:dyDescent="0.3">
      <c r="A854" s="17" t="s">
        <v>1076</v>
      </c>
      <c r="B854" s="14" t="s">
        <v>1086</v>
      </c>
      <c r="C854" s="9" t="s">
        <v>30</v>
      </c>
      <c r="D854" s="66" t="s">
        <v>1087</v>
      </c>
      <c r="E854" s="158">
        <f t="shared" si="181"/>
        <v>127.07633</v>
      </c>
      <c r="F854" s="159">
        <f t="shared" si="182"/>
        <v>49.497720000000001</v>
      </c>
      <c r="G854" s="160">
        <f t="shared" si="183"/>
        <v>77.578609999999998</v>
      </c>
      <c r="H854" s="166"/>
      <c r="I854" s="165"/>
      <c r="J854" s="160"/>
      <c r="K854" s="160"/>
      <c r="L854" s="166">
        <v>49.497720000000001</v>
      </c>
      <c r="M854" s="165">
        <v>77.578609999999998</v>
      </c>
      <c r="N854" s="165"/>
      <c r="O854" s="165"/>
      <c r="P854" s="160"/>
      <c r="Q854" s="166"/>
      <c r="R854" s="165"/>
      <c r="S854" s="165"/>
      <c r="T854" s="159"/>
      <c r="U854" s="160"/>
      <c r="V854" s="165"/>
      <c r="W854" s="165"/>
      <c r="X854" s="160"/>
      <c r="Y854" s="166"/>
      <c r="Z854" s="160"/>
      <c r="AA854" s="160"/>
      <c r="AB854" s="165"/>
      <c r="AC854" s="165"/>
      <c r="AD854" s="165"/>
      <c r="AE854" s="165"/>
      <c r="AF854" s="160"/>
      <c r="AG854" s="160"/>
      <c r="AH854" s="160"/>
      <c r="AI854" s="160"/>
      <c r="AJ854" s="161"/>
      <c r="AK854" s="162"/>
      <c r="AL854" s="165"/>
      <c r="AM854" s="166"/>
      <c r="AN854" s="165"/>
      <c r="AO854" s="160"/>
      <c r="AP854" s="162"/>
      <c r="AQ854" s="161"/>
      <c r="AR854" s="162"/>
      <c r="AS854" s="161"/>
      <c r="AT854" s="165"/>
      <c r="AU854" s="166"/>
      <c r="AV854" s="165"/>
      <c r="AW854" s="166"/>
      <c r="AX854" s="165"/>
      <c r="AY854" s="165"/>
      <c r="AZ854" s="165"/>
      <c r="BA854" s="158"/>
      <c r="BB854" s="166"/>
      <c r="BC854" s="165"/>
      <c r="BD854" s="165"/>
      <c r="BE854" s="165"/>
      <c r="BF854" s="165"/>
      <c r="BG854" s="165"/>
      <c r="BH854" s="165"/>
      <c r="BI854" s="165"/>
      <c r="BJ854" s="166"/>
      <c r="BK854" s="165"/>
      <c r="BL854" s="165"/>
      <c r="BM854" s="163"/>
      <c r="BN854" s="165"/>
      <c r="BO854" s="165"/>
      <c r="BP854" s="165"/>
      <c r="BQ854" s="167"/>
    </row>
    <row r="855" spans="1:270" ht="39.950000000000003" customHeight="1" outlineLevel="1" x14ac:dyDescent="0.3">
      <c r="A855" s="17" t="s">
        <v>1076</v>
      </c>
      <c r="B855" s="14" t="s">
        <v>1088</v>
      </c>
      <c r="C855" s="9" t="s">
        <v>30</v>
      </c>
      <c r="D855" s="66" t="s">
        <v>1089</v>
      </c>
      <c r="E855" s="158">
        <f t="shared" si="181"/>
        <v>265.29111999999998</v>
      </c>
      <c r="F855" s="159">
        <f t="shared" si="182"/>
        <v>103.33401000000001</v>
      </c>
      <c r="G855" s="160">
        <f t="shared" si="183"/>
        <v>161.95711</v>
      </c>
      <c r="H855" s="166"/>
      <c r="I855" s="165"/>
      <c r="J855" s="160"/>
      <c r="K855" s="160"/>
      <c r="L855" s="166">
        <v>103.33401000000001</v>
      </c>
      <c r="M855" s="165">
        <v>161.95711</v>
      </c>
      <c r="N855" s="165"/>
      <c r="O855" s="165"/>
      <c r="P855" s="160"/>
      <c r="Q855" s="166"/>
      <c r="R855" s="165"/>
      <c r="S855" s="165"/>
      <c r="T855" s="159"/>
      <c r="U855" s="160"/>
      <c r="V855" s="165"/>
      <c r="W855" s="165"/>
      <c r="X855" s="160"/>
      <c r="Y855" s="166"/>
      <c r="Z855" s="160"/>
      <c r="AA855" s="160"/>
      <c r="AB855" s="165"/>
      <c r="AC855" s="165"/>
      <c r="AD855" s="165"/>
      <c r="AE855" s="165"/>
      <c r="AF855" s="160"/>
      <c r="AG855" s="160"/>
      <c r="AH855" s="160"/>
      <c r="AI855" s="160"/>
      <c r="AJ855" s="161"/>
      <c r="AK855" s="162"/>
      <c r="AL855" s="165"/>
      <c r="AM855" s="166"/>
      <c r="AN855" s="165"/>
      <c r="AO855" s="160"/>
      <c r="AP855" s="162"/>
      <c r="AQ855" s="161"/>
      <c r="AR855" s="162"/>
      <c r="AS855" s="161"/>
      <c r="AT855" s="165"/>
      <c r="AU855" s="166"/>
      <c r="AV855" s="165"/>
      <c r="AW855" s="166"/>
      <c r="AX855" s="165"/>
      <c r="AY855" s="165"/>
      <c r="AZ855" s="165"/>
      <c r="BA855" s="158"/>
      <c r="BB855" s="166"/>
      <c r="BC855" s="165"/>
      <c r="BD855" s="165"/>
      <c r="BE855" s="165"/>
      <c r="BF855" s="165"/>
      <c r="BG855" s="165"/>
      <c r="BH855" s="165"/>
      <c r="BI855" s="165"/>
      <c r="BJ855" s="166"/>
      <c r="BK855" s="165"/>
      <c r="BL855" s="165"/>
      <c r="BM855" s="163"/>
      <c r="BN855" s="165"/>
      <c r="BO855" s="165"/>
      <c r="BP855" s="165"/>
      <c r="BQ855" s="167"/>
    </row>
    <row r="856" spans="1:270" ht="39.950000000000003" customHeight="1" outlineLevel="1" x14ac:dyDescent="0.3">
      <c r="A856" s="17" t="s">
        <v>1076</v>
      </c>
      <c r="B856" s="14" t="s">
        <v>1090</v>
      </c>
      <c r="C856" s="9" t="s">
        <v>30</v>
      </c>
      <c r="D856" s="66" t="s">
        <v>1091</v>
      </c>
      <c r="E856" s="158">
        <f t="shared" si="181"/>
        <v>1806.9696299999998</v>
      </c>
      <c r="F856" s="159">
        <f t="shared" si="182"/>
        <v>607.83484999999996</v>
      </c>
      <c r="G856" s="160">
        <f t="shared" si="183"/>
        <v>1199.1347799999999</v>
      </c>
      <c r="H856" s="166"/>
      <c r="I856" s="165"/>
      <c r="J856" s="160"/>
      <c r="K856" s="160"/>
      <c r="L856" s="166">
        <v>357.83287000000001</v>
      </c>
      <c r="M856" s="165">
        <v>560.8374</v>
      </c>
      <c r="N856" s="165"/>
      <c r="O856" s="165"/>
      <c r="P856" s="160"/>
      <c r="Q856" s="166"/>
      <c r="R856" s="165"/>
      <c r="S856" s="165"/>
      <c r="T856" s="159"/>
      <c r="U856" s="160"/>
      <c r="V856" s="165"/>
      <c r="W856" s="165">
        <v>416</v>
      </c>
      <c r="X856" s="160"/>
      <c r="Y856" s="166"/>
      <c r="Z856" s="160"/>
      <c r="AA856" s="160"/>
      <c r="AB856" s="165"/>
      <c r="AC856" s="165"/>
      <c r="AD856" s="165"/>
      <c r="AE856" s="165"/>
      <c r="AF856" s="160"/>
      <c r="AG856" s="160"/>
      <c r="AH856" s="160"/>
      <c r="AI856" s="160"/>
      <c r="AJ856" s="161"/>
      <c r="AK856" s="162"/>
      <c r="AL856" s="165"/>
      <c r="AM856" s="166"/>
      <c r="AN856" s="165"/>
      <c r="AO856" s="160"/>
      <c r="AP856" s="162"/>
      <c r="AQ856" s="161"/>
      <c r="AR856" s="162"/>
      <c r="AS856" s="161"/>
      <c r="AT856" s="165"/>
      <c r="AU856" s="166"/>
      <c r="AV856" s="165"/>
      <c r="AW856" s="166">
        <v>250.00198</v>
      </c>
      <c r="AX856" s="165">
        <f>50.32507+74.67591</f>
        <v>125.00098</v>
      </c>
      <c r="AY856" s="165"/>
      <c r="AZ856" s="165"/>
      <c r="BA856" s="165">
        <v>97.296400000000006</v>
      </c>
      <c r="BB856" s="166"/>
      <c r="BC856" s="165"/>
      <c r="BD856" s="165"/>
      <c r="BE856" s="165"/>
      <c r="BF856" s="165"/>
      <c r="BG856" s="165"/>
      <c r="BH856" s="165"/>
      <c r="BI856" s="165"/>
      <c r="BJ856" s="166"/>
      <c r="BK856" s="165"/>
      <c r="BL856" s="165"/>
      <c r="BM856" s="163"/>
      <c r="BN856" s="165"/>
      <c r="BO856" s="165"/>
      <c r="BP856" s="165"/>
      <c r="BQ856" s="167"/>
    </row>
    <row r="857" spans="1:270" ht="39.950000000000003" customHeight="1" outlineLevel="1" x14ac:dyDescent="0.3">
      <c r="A857" s="17" t="s">
        <v>1076</v>
      </c>
      <c r="B857" s="14" t="s">
        <v>1094</v>
      </c>
      <c r="C857" s="9" t="s">
        <v>87</v>
      </c>
      <c r="D857" s="66">
        <v>2442012944</v>
      </c>
      <c r="E857" s="158">
        <f t="shared" si="181"/>
        <v>320636.22678000003</v>
      </c>
      <c r="F857" s="159">
        <f t="shared" si="182"/>
        <v>0</v>
      </c>
      <c r="G857" s="160">
        <f t="shared" si="183"/>
        <v>320636.22678000003</v>
      </c>
      <c r="H857" s="166"/>
      <c r="I857" s="165"/>
      <c r="J857" s="160"/>
      <c r="K857" s="160"/>
      <c r="L857" s="166"/>
      <c r="M857" s="165"/>
      <c r="N857" s="165"/>
      <c r="O857" s="165"/>
      <c r="P857" s="160"/>
      <c r="Q857" s="166"/>
      <c r="R857" s="165"/>
      <c r="S857" s="165"/>
      <c r="T857" s="159"/>
      <c r="U857" s="160"/>
      <c r="V857" s="165"/>
      <c r="W857" s="165"/>
      <c r="X857" s="160"/>
      <c r="Y857" s="166"/>
      <c r="Z857" s="160"/>
      <c r="AA857" s="160"/>
      <c r="AB857" s="165"/>
      <c r="AC857" s="165"/>
      <c r="AD857" s="165"/>
      <c r="AE857" s="165"/>
      <c r="AF857" s="160">
        <v>165641.16362000001</v>
      </c>
      <c r="AG857" s="160"/>
      <c r="AH857" s="160"/>
      <c r="AI857" s="160">
        <v>64090.588129999996</v>
      </c>
      <c r="AJ857" s="161"/>
      <c r="AK857" s="162"/>
      <c r="AL857" s="165"/>
      <c r="AM857" s="166"/>
      <c r="AN857" s="165"/>
      <c r="AO857" s="160"/>
      <c r="AP857" s="162"/>
      <c r="AQ857" s="161"/>
      <c r="AR857" s="162"/>
      <c r="AS857" s="161"/>
      <c r="AT857" s="165"/>
      <c r="AU857" s="166"/>
      <c r="AV857" s="165"/>
      <c r="AW857" s="166"/>
      <c r="AX857" s="165"/>
      <c r="AY857" s="165">
        <v>21911.280490000001</v>
      </c>
      <c r="AZ857" s="165"/>
      <c r="BA857" s="165">
        <v>21891.362099999998</v>
      </c>
      <c r="BB857" s="166"/>
      <c r="BC857" s="165"/>
      <c r="BD857" s="165"/>
      <c r="BE857" s="165">
        <v>27058.56565</v>
      </c>
      <c r="BF857" s="165">
        <v>20043.266790000001</v>
      </c>
      <c r="BG857" s="165"/>
      <c r="BH857" s="165"/>
      <c r="BI857" s="165"/>
      <c r="BJ857" s="166"/>
      <c r="BK857" s="165"/>
      <c r="BL857" s="165"/>
      <c r="BM857" s="163"/>
      <c r="BN857" s="165"/>
      <c r="BO857" s="165"/>
      <c r="BP857" s="165"/>
      <c r="BQ857" s="167"/>
    </row>
    <row r="858" spans="1:270" ht="39.950000000000003" customHeight="1" outlineLevel="1" x14ac:dyDescent="0.3">
      <c r="A858" s="17" t="s">
        <v>1076</v>
      </c>
      <c r="B858" s="14" t="s">
        <v>1435</v>
      </c>
      <c r="C858" s="9" t="s">
        <v>6</v>
      </c>
      <c r="D858" s="66" t="s">
        <v>1079</v>
      </c>
      <c r="E858" s="158">
        <f t="shared" si="181"/>
        <v>25192.370159999999</v>
      </c>
      <c r="F858" s="159">
        <f t="shared" si="182"/>
        <v>0</v>
      </c>
      <c r="G858" s="160">
        <f t="shared" si="183"/>
        <v>25192.370159999999</v>
      </c>
      <c r="H858" s="166"/>
      <c r="I858" s="165"/>
      <c r="J858" s="160"/>
      <c r="K858" s="160"/>
      <c r="L858" s="166"/>
      <c r="M858" s="165"/>
      <c r="N858" s="165"/>
      <c r="O858" s="165"/>
      <c r="P858" s="160"/>
      <c r="Q858" s="166"/>
      <c r="R858" s="165"/>
      <c r="S858" s="165"/>
      <c r="T858" s="159"/>
      <c r="U858" s="160"/>
      <c r="V858" s="165"/>
      <c r="W858" s="165"/>
      <c r="X858" s="160"/>
      <c r="Y858" s="166"/>
      <c r="Z858" s="160"/>
      <c r="AA858" s="160"/>
      <c r="AB858" s="165">
        <v>24480.76</v>
      </c>
      <c r="AC858" s="165"/>
      <c r="AD858" s="165"/>
      <c r="AE858" s="165"/>
      <c r="AF858" s="160"/>
      <c r="AG858" s="160"/>
      <c r="AH858" s="160"/>
      <c r="AI858" s="160"/>
      <c r="AJ858" s="161"/>
      <c r="AK858" s="162"/>
      <c r="AL858" s="165"/>
      <c r="AM858" s="166"/>
      <c r="AN858" s="165"/>
      <c r="AO858" s="160"/>
      <c r="AP858" s="162"/>
      <c r="AQ858" s="161"/>
      <c r="AR858" s="162"/>
      <c r="AS858" s="161"/>
      <c r="AT858" s="165"/>
      <c r="AU858" s="166"/>
      <c r="AV858" s="165"/>
      <c r="AW858" s="166"/>
      <c r="AX858" s="165"/>
      <c r="AY858" s="165"/>
      <c r="AZ858" s="165"/>
      <c r="BA858" s="158"/>
      <c r="BB858" s="166"/>
      <c r="BC858" s="165"/>
      <c r="BD858" s="165"/>
      <c r="BE858" s="165"/>
      <c r="BF858" s="165">
        <v>711.61015999999995</v>
      </c>
      <c r="BG858" s="165"/>
      <c r="BH858" s="165"/>
      <c r="BI858" s="165"/>
      <c r="BJ858" s="166"/>
      <c r="BK858" s="165"/>
      <c r="BL858" s="165"/>
      <c r="BM858" s="163"/>
      <c r="BN858" s="165"/>
      <c r="BO858" s="165"/>
      <c r="BP858" s="165"/>
      <c r="BQ858" s="167"/>
    </row>
    <row r="859" spans="1:270" ht="39.950000000000003" customHeight="1" outlineLevel="1" thickBot="1" x14ac:dyDescent="0.35">
      <c r="A859" s="15" t="s">
        <v>1076</v>
      </c>
      <c r="B859" s="12" t="s">
        <v>1077</v>
      </c>
      <c r="C859" s="9" t="s">
        <v>6</v>
      </c>
      <c r="D859" s="66" t="s">
        <v>1078</v>
      </c>
      <c r="E859" s="158">
        <f t="shared" si="181"/>
        <v>98972.652319999994</v>
      </c>
      <c r="F859" s="159">
        <f t="shared" si="182"/>
        <v>10724.757269999998</v>
      </c>
      <c r="G859" s="160">
        <f t="shared" si="183"/>
        <v>88247.895049999992</v>
      </c>
      <c r="H859" s="166">
        <v>2718.0583999999999</v>
      </c>
      <c r="I859" s="165">
        <v>906.01948000000004</v>
      </c>
      <c r="J859" s="160">
        <v>2229.3090000000002</v>
      </c>
      <c r="K859" s="160"/>
      <c r="L859" s="166">
        <v>2497.5110399999999</v>
      </c>
      <c r="M859" s="165">
        <v>3914.3904600000001</v>
      </c>
      <c r="N859" s="165"/>
      <c r="O859" s="165">
        <v>580</v>
      </c>
      <c r="P859" s="160"/>
      <c r="Q859" s="166"/>
      <c r="R859" s="165"/>
      <c r="S859" s="165"/>
      <c r="T859" s="159">
        <v>682.93764999999996</v>
      </c>
      <c r="U859" s="160">
        <v>227.64588000000001</v>
      </c>
      <c r="V859" s="165"/>
      <c r="W859" s="165"/>
      <c r="X859" s="160"/>
      <c r="Y859" s="166">
        <v>4826.25018</v>
      </c>
      <c r="Z859" s="160">
        <v>1608.7500600000001</v>
      </c>
      <c r="AA859" s="160">
        <v>20649.982800000002</v>
      </c>
      <c r="AB859" s="165"/>
      <c r="AC859" s="165"/>
      <c r="AD859" s="165"/>
      <c r="AE859" s="165"/>
      <c r="AF859" s="160"/>
      <c r="AG859" s="160"/>
      <c r="AH859" s="160">
        <v>1880.42191</v>
      </c>
      <c r="AI859" s="160">
        <v>2056.8333200000002</v>
      </c>
      <c r="AJ859" s="161"/>
      <c r="AK859" s="162"/>
      <c r="AL859" s="165"/>
      <c r="AM859" s="166"/>
      <c r="AN859" s="165"/>
      <c r="AO859" s="160"/>
      <c r="AP859" s="162"/>
      <c r="AQ859" s="161"/>
      <c r="AR859" s="162"/>
      <c r="AS859" s="161"/>
      <c r="AT859" s="165"/>
      <c r="AU859" s="166"/>
      <c r="AV859" s="165"/>
      <c r="AW859" s="166"/>
      <c r="AX859" s="165"/>
      <c r="AY859" s="165">
        <v>1023.28586</v>
      </c>
      <c r="AZ859" s="165"/>
      <c r="BA859" s="165">
        <v>2126.3072099999999</v>
      </c>
      <c r="BB859" s="166"/>
      <c r="BC859" s="165"/>
      <c r="BD859" s="165"/>
      <c r="BE859" s="165">
        <v>6635.5251099999996</v>
      </c>
      <c r="BF859" s="165">
        <v>43238.325980000001</v>
      </c>
      <c r="BG859" s="165">
        <v>412.90451999999999</v>
      </c>
      <c r="BH859" s="165"/>
      <c r="BI859" s="165"/>
      <c r="BJ859" s="166"/>
      <c r="BK859" s="165"/>
      <c r="BL859" s="165"/>
      <c r="BM859" s="163"/>
      <c r="BN859" s="165">
        <v>14.68</v>
      </c>
      <c r="BO859" s="165">
        <v>743.51346000000001</v>
      </c>
      <c r="BP859" s="165"/>
      <c r="BQ859" s="167"/>
    </row>
    <row r="860" spans="1:270" s="34" customFormat="1" ht="39.950000000000003" customHeight="1" thickBot="1" x14ac:dyDescent="0.35">
      <c r="A860" s="113" t="s">
        <v>1095</v>
      </c>
      <c r="B860" s="110"/>
      <c r="C860" s="111" t="s">
        <v>80</v>
      </c>
      <c r="D860" s="112"/>
      <c r="E860" s="194">
        <f t="shared" ref="E860:AI860" si="184">SUBTOTAL(9,E840:E859)</f>
        <v>492960.83749000001</v>
      </c>
      <c r="F860" s="194">
        <f t="shared" si="184"/>
        <v>25975.872649999998</v>
      </c>
      <c r="G860" s="194">
        <f t="shared" si="184"/>
        <v>466984.96484000003</v>
      </c>
      <c r="H860" s="194">
        <f t="shared" si="184"/>
        <v>2718.0583999999999</v>
      </c>
      <c r="I860" s="194">
        <f t="shared" si="184"/>
        <v>906.01948000000004</v>
      </c>
      <c r="J860" s="194">
        <f t="shared" si="184"/>
        <v>3189.3090000000002</v>
      </c>
      <c r="K860" s="194">
        <f t="shared" si="184"/>
        <v>0</v>
      </c>
      <c r="L860" s="194">
        <f t="shared" si="184"/>
        <v>4552.0777699999999</v>
      </c>
      <c r="M860" s="194">
        <f t="shared" si="184"/>
        <v>7134.5469999999996</v>
      </c>
      <c r="N860" s="194">
        <f t="shared" si="184"/>
        <v>0</v>
      </c>
      <c r="O860" s="194">
        <f>SUBTOTAL(9,O840:O859)</f>
        <v>580</v>
      </c>
      <c r="P860" s="194">
        <f>SUBTOTAL(9,P840:P859)</f>
        <v>0</v>
      </c>
      <c r="Q860" s="194">
        <f t="shared" si="184"/>
        <v>0</v>
      </c>
      <c r="R860" s="194">
        <f t="shared" si="184"/>
        <v>0</v>
      </c>
      <c r="S860" s="194">
        <f t="shared" si="184"/>
        <v>48.72</v>
      </c>
      <c r="T860" s="194">
        <f>SUBTOTAL(9,T840:T859)</f>
        <v>682.93764999999996</v>
      </c>
      <c r="U860" s="194">
        <f>SUBTOTAL(9,U840:U859)</f>
        <v>227.64588000000001</v>
      </c>
      <c r="V860" s="194">
        <f t="shared" si="184"/>
        <v>0</v>
      </c>
      <c r="W860" s="194">
        <f t="shared" si="184"/>
        <v>1006.72</v>
      </c>
      <c r="X860" s="194">
        <f>SUBTOTAL(9,X840:X859)</f>
        <v>0</v>
      </c>
      <c r="Y860" s="194">
        <f t="shared" si="184"/>
        <v>7930.89185</v>
      </c>
      <c r="Z860" s="194">
        <f t="shared" si="184"/>
        <v>2643.6306199999999</v>
      </c>
      <c r="AA860" s="194">
        <f t="shared" si="184"/>
        <v>33893.707040000001</v>
      </c>
      <c r="AB860" s="194">
        <f t="shared" si="184"/>
        <v>24480.76</v>
      </c>
      <c r="AC860" s="194">
        <f t="shared" si="184"/>
        <v>0</v>
      </c>
      <c r="AD860" s="194">
        <f>SUBTOTAL(9,AD840:AD859)</f>
        <v>0</v>
      </c>
      <c r="AE860" s="194">
        <f t="shared" si="184"/>
        <v>0</v>
      </c>
      <c r="AF860" s="194">
        <f t="shared" si="184"/>
        <v>165641.16362000001</v>
      </c>
      <c r="AG860" s="194">
        <f t="shared" si="184"/>
        <v>0</v>
      </c>
      <c r="AH860" s="194">
        <f t="shared" si="184"/>
        <v>1880.42191</v>
      </c>
      <c r="AI860" s="194">
        <f t="shared" si="184"/>
        <v>66147.421449999994</v>
      </c>
      <c r="AJ860" s="194">
        <f t="shared" ref="AJ860:BQ860" si="185">SUBTOTAL(9,AJ840:AJ859)</f>
        <v>2969.741</v>
      </c>
      <c r="AK860" s="194">
        <f t="shared" si="185"/>
        <v>0</v>
      </c>
      <c r="AL860" s="194">
        <f t="shared" si="185"/>
        <v>0</v>
      </c>
      <c r="AM860" s="194">
        <f>SUBTOTAL(9,AM840:AM859)</f>
        <v>9841.9050000000007</v>
      </c>
      <c r="AN860" s="194">
        <f>SUBTOTAL(9,AN840:AN859)</f>
        <v>517.995</v>
      </c>
      <c r="AO860" s="194">
        <f>SUBTOTAL(9,AO840:AO859)</f>
        <v>0</v>
      </c>
      <c r="AP860" s="194">
        <f t="shared" si="185"/>
        <v>0</v>
      </c>
      <c r="AQ860" s="194">
        <f t="shared" si="185"/>
        <v>0</v>
      </c>
      <c r="AR860" s="194">
        <f t="shared" si="185"/>
        <v>0</v>
      </c>
      <c r="AS860" s="194">
        <f t="shared" si="185"/>
        <v>0</v>
      </c>
      <c r="AT860" s="194">
        <f>SUBTOTAL(9,AT840:AT859)</f>
        <v>0</v>
      </c>
      <c r="AU860" s="194">
        <f t="shared" si="185"/>
        <v>0</v>
      </c>
      <c r="AV860" s="194">
        <f t="shared" si="185"/>
        <v>0</v>
      </c>
      <c r="AW860" s="194">
        <f t="shared" si="185"/>
        <v>250.00198</v>
      </c>
      <c r="AX860" s="194">
        <f t="shared" si="185"/>
        <v>125.00098</v>
      </c>
      <c r="AY860" s="194">
        <f t="shared" si="185"/>
        <v>22934.566350000001</v>
      </c>
      <c r="AZ860" s="194">
        <f t="shared" si="185"/>
        <v>0</v>
      </c>
      <c r="BA860" s="194">
        <f t="shared" si="185"/>
        <v>24114.965709999997</v>
      </c>
      <c r="BB860" s="194">
        <f t="shared" si="185"/>
        <v>0</v>
      </c>
      <c r="BC860" s="194">
        <f t="shared" si="185"/>
        <v>0</v>
      </c>
      <c r="BD860" s="194">
        <f t="shared" si="185"/>
        <v>0</v>
      </c>
      <c r="BE860" s="194">
        <f t="shared" si="185"/>
        <v>35149.5386</v>
      </c>
      <c r="BF860" s="194">
        <f t="shared" si="185"/>
        <v>63993.202929999999</v>
      </c>
      <c r="BG860" s="194">
        <f t="shared" si="185"/>
        <v>412.90451999999999</v>
      </c>
      <c r="BH860" s="194">
        <f t="shared" si="185"/>
        <v>6000</v>
      </c>
      <c r="BI860" s="194">
        <f t="shared" si="185"/>
        <v>0</v>
      </c>
      <c r="BJ860" s="194">
        <f t="shared" si="185"/>
        <v>0</v>
      </c>
      <c r="BK860" s="194">
        <f t="shared" si="185"/>
        <v>0</v>
      </c>
      <c r="BL860" s="194">
        <f t="shared" si="185"/>
        <v>0</v>
      </c>
      <c r="BM860" s="195">
        <f>SUBTOTAL(9,BM840:BM859)</f>
        <v>0</v>
      </c>
      <c r="BN860" s="194">
        <f t="shared" si="185"/>
        <v>14.68</v>
      </c>
      <c r="BO860" s="194">
        <f t="shared" si="185"/>
        <v>2972.30375</v>
      </c>
      <c r="BP860" s="194">
        <f t="shared" si="185"/>
        <v>0</v>
      </c>
      <c r="BQ860" s="195">
        <f t="shared" si="185"/>
        <v>0</v>
      </c>
      <c r="BR860" s="40"/>
      <c r="BS860" s="40"/>
      <c r="BT860" s="40"/>
      <c r="BU860" s="40"/>
      <c r="BV860" s="40"/>
      <c r="BW860" s="40"/>
      <c r="BX860" s="40"/>
      <c r="BY860" s="40"/>
      <c r="BZ860" s="40"/>
      <c r="CA860" s="40"/>
      <c r="CB860" s="40"/>
      <c r="CC860" s="40"/>
      <c r="CD860" s="40"/>
      <c r="CE860" s="40"/>
      <c r="CF860" s="40"/>
      <c r="CG860" s="40"/>
      <c r="CH860" s="40"/>
      <c r="CI860" s="40"/>
      <c r="CJ860" s="40"/>
      <c r="CK860" s="40"/>
      <c r="CL860" s="40"/>
      <c r="CM860" s="40"/>
      <c r="CN860" s="40"/>
      <c r="CO860" s="40"/>
      <c r="CP860" s="40"/>
      <c r="CQ860" s="40"/>
      <c r="CR860" s="40"/>
      <c r="CS860" s="40"/>
      <c r="CT860" s="40"/>
      <c r="CU860" s="40"/>
      <c r="CV860" s="40"/>
      <c r="CW860" s="40"/>
      <c r="CX860" s="40"/>
      <c r="CY860" s="40"/>
      <c r="CZ860" s="40"/>
      <c r="DA860" s="40"/>
      <c r="DB860" s="40"/>
      <c r="DC860" s="40"/>
      <c r="DD860" s="40"/>
      <c r="DE860" s="40"/>
      <c r="DF860" s="40"/>
      <c r="DG860" s="40"/>
      <c r="DH860" s="40"/>
      <c r="DI860" s="40"/>
      <c r="DJ860" s="40"/>
      <c r="DK860" s="40"/>
      <c r="DL860" s="40"/>
      <c r="DM860" s="40"/>
      <c r="DN860" s="40"/>
      <c r="DO860" s="40"/>
      <c r="DP860" s="40"/>
      <c r="DQ860" s="40"/>
      <c r="DR860" s="40"/>
      <c r="DS860" s="40"/>
      <c r="DT860" s="40"/>
      <c r="DU860" s="40"/>
      <c r="DV860" s="40"/>
      <c r="DW860" s="40"/>
      <c r="DX860" s="40"/>
      <c r="DY860" s="40"/>
      <c r="DZ860" s="40"/>
      <c r="EA860" s="40"/>
      <c r="EB860" s="40"/>
      <c r="EC860" s="40"/>
      <c r="ED860" s="40"/>
      <c r="EE860" s="40"/>
      <c r="EF860" s="40"/>
      <c r="EG860" s="40"/>
      <c r="EH860" s="40"/>
      <c r="EI860" s="40"/>
      <c r="EJ860" s="40"/>
      <c r="EK860" s="40"/>
      <c r="EL860" s="40"/>
      <c r="EM860" s="40"/>
      <c r="EN860" s="40"/>
      <c r="EO860" s="40"/>
      <c r="EP860" s="40"/>
      <c r="EQ860" s="40"/>
      <c r="ER860" s="40"/>
      <c r="ES860" s="40"/>
      <c r="ET860" s="40"/>
      <c r="EU860" s="40"/>
      <c r="EV860" s="40"/>
      <c r="EW860" s="40"/>
      <c r="EX860" s="40"/>
      <c r="EY860" s="40"/>
      <c r="EZ860" s="40"/>
      <c r="FA860" s="40"/>
      <c r="FB860" s="40"/>
      <c r="FC860" s="40"/>
      <c r="FD860" s="40"/>
      <c r="FE860" s="40"/>
      <c r="FF860" s="40"/>
      <c r="FG860" s="40"/>
      <c r="FH860" s="40"/>
      <c r="FI860" s="40"/>
      <c r="FJ860" s="40"/>
      <c r="FK860" s="40"/>
      <c r="FL860" s="40"/>
      <c r="FM860" s="40"/>
      <c r="FN860" s="40"/>
      <c r="FO860" s="40"/>
      <c r="FP860" s="40"/>
      <c r="FQ860" s="40"/>
      <c r="FR860" s="40"/>
      <c r="FS860" s="40"/>
      <c r="FT860" s="40"/>
      <c r="FU860" s="40"/>
      <c r="FV860" s="40"/>
      <c r="FW860" s="40"/>
      <c r="FX860" s="40"/>
      <c r="FY860" s="40"/>
      <c r="FZ860" s="40"/>
      <c r="GA860" s="40"/>
      <c r="GB860" s="40"/>
      <c r="GC860" s="40"/>
      <c r="GD860" s="40"/>
      <c r="GE860" s="40"/>
      <c r="GF860" s="40"/>
      <c r="GG860" s="40"/>
      <c r="GH860" s="40"/>
      <c r="GI860" s="40"/>
      <c r="GJ860" s="40"/>
      <c r="GK860" s="40"/>
      <c r="GL860" s="40"/>
      <c r="GM860" s="40"/>
      <c r="GN860" s="40"/>
      <c r="GO860" s="40"/>
      <c r="GP860" s="40"/>
      <c r="GQ860" s="40"/>
      <c r="GR860" s="40"/>
      <c r="GS860" s="40"/>
      <c r="GT860" s="40"/>
      <c r="GU860" s="40"/>
      <c r="GV860" s="40"/>
      <c r="GW860" s="40"/>
      <c r="GX860" s="40"/>
      <c r="GY860" s="40"/>
      <c r="GZ860" s="40"/>
      <c r="HA860" s="40"/>
      <c r="HB860" s="40"/>
      <c r="HC860" s="40"/>
      <c r="HD860" s="40"/>
      <c r="HE860" s="40"/>
      <c r="HF860" s="40"/>
      <c r="HG860" s="40"/>
      <c r="HH860" s="40"/>
      <c r="HI860" s="40"/>
      <c r="HJ860" s="40"/>
      <c r="HK860" s="40"/>
      <c r="HL860" s="40"/>
      <c r="HM860" s="40"/>
      <c r="HN860" s="40"/>
      <c r="HO860" s="40"/>
      <c r="HP860" s="40"/>
      <c r="HQ860" s="40"/>
      <c r="HR860" s="40"/>
      <c r="HS860" s="40"/>
      <c r="HT860" s="40"/>
      <c r="HU860" s="40"/>
      <c r="HV860" s="40"/>
      <c r="HW860" s="40"/>
      <c r="HX860" s="40"/>
      <c r="HY860" s="40"/>
      <c r="HZ860" s="40"/>
      <c r="IA860" s="40"/>
      <c r="IB860" s="40"/>
      <c r="IC860" s="40"/>
      <c r="ID860" s="40"/>
      <c r="IE860" s="40"/>
      <c r="IF860" s="40"/>
      <c r="IG860" s="40"/>
      <c r="IH860" s="40"/>
      <c r="II860" s="40"/>
      <c r="IJ860" s="40"/>
      <c r="IK860" s="40"/>
      <c r="IL860" s="40"/>
      <c r="IM860" s="40"/>
      <c r="IN860" s="40"/>
      <c r="IO860" s="40"/>
      <c r="IP860" s="40"/>
      <c r="IQ860" s="40"/>
      <c r="IR860" s="40"/>
      <c r="IS860" s="40"/>
      <c r="IT860" s="40"/>
      <c r="IU860" s="40"/>
      <c r="IV860" s="40"/>
      <c r="IW860" s="40"/>
      <c r="IX860" s="40"/>
      <c r="IY860" s="40"/>
      <c r="IZ860" s="40"/>
      <c r="JA860" s="40"/>
      <c r="JB860" s="40"/>
      <c r="JC860" s="40"/>
      <c r="JD860" s="40"/>
      <c r="JE860" s="40"/>
      <c r="JF860" s="40"/>
      <c r="JG860" s="40"/>
      <c r="JH860" s="40"/>
      <c r="JI860" s="40"/>
      <c r="JJ860" s="40"/>
    </row>
    <row r="861" spans="1:270" ht="39.950000000000003" customHeight="1" outlineLevel="1" x14ac:dyDescent="0.3">
      <c r="A861" s="105" t="s">
        <v>1393</v>
      </c>
      <c r="B861" s="106" t="s">
        <v>1397</v>
      </c>
      <c r="C861" s="107" t="s">
        <v>28</v>
      </c>
      <c r="D861" s="108">
        <v>143510375963</v>
      </c>
      <c r="E861" s="196">
        <f t="shared" ref="E861:E875" si="186">F861+G861</f>
        <v>1583.5448000000001</v>
      </c>
      <c r="F861" s="197">
        <f t="shared" ref="F861:F875" si="187">H861+L861+Q861+Y861+T861+AK861+AP861+AM861+AR861+AU861+AW861+BB861+BJ861</f>
        <v>0</v>
      </c>
      <c r="G861" s="160">
        <f t="shared" ref="G861:G875" si="188">I861+J861+K861+M861+N861+R861+S861+V861+W861+AD861+O861+X861+Z861+AA861+AB861+AC861+AE861+AF861+P861+U861+AG861+AH861+AI861+AO861+AJ861+AL861+AQ861+AN861+AS861+AV861+AX861+AY861+AZ861+BA861+BC861+BD861+BE861+BF861+BG861+BH861+BI861+AT861+BK861+BL861+BN861+BO861+BP861+BQ861+BM861</f>
        <v>1583.5448000000001</v>
      </c>
      <c r="H861" s="198"/>
      <c r="I861" s="199"/>
      <c r="J861" s="200"/>
      <c r="K861" s="200"/>
      <c r="L861" s="198"/>
      <c r="M861" s="199"/>
      <c r="N861" s="199"/>
      <c r="O861" s="199"/>
      <c r="P861" s="200"/>
      <c r="Q861" s="198"/>
      <c r="R861" s="199"/>
      <c r="S861" s="199"/>
      <c r="T861" s="197"/>
      <c r="U861" s="200"/>
      <c r="V861" s="199"/>
      <c r="W861" s="199"/>
      <c r="X861" s="200"/>
      <c r="Y861" s="198"/>
      <c r="Z861" s="200"/>
      <c r="AA861" s="200"/>
      <c r="AB861" s="199"/>
      <c r="AC861" s="199"/>
      <c r="AD861" s="199"/>
      <c r="AE861" s="199"/>
      <c r="AF861" s="200"/>
      <c r="AG861" s="200"/>
      <c r="AH861" s="200"/>
      <c r="AI861" s="200">
        <v>417.50630000000001</v>
      </c>
      <c r="AJ861" s="201"/>
      <c r="AK861" s="202"/>
      <c r="AL861" s="199"/>
      <c r="AM861" s="198"/>
      <c r="AN861" s="199"/>
      <c r="AO861" s="200"/>
      <c r="AP861" s="202"/>
      <c r="AQ861" s="201"/>
      <c r="AR861" s="202"/>
      <c r="AS861" s="201"/>
      <c r="AT861" s="199"/>
      <c r="AU861" s="198"/>
      <c r="AV861" s="199"/>
      <c r="AW861" s="198"/>
      <c r="AX861" s="199"/>
      <c r="AY861" s="199"/>
      <c r="AZ861" s="199"/>
      <c r="BA861" s="199"/>
      <c r="BB861" s="198"/>
      <c r="BC861" s="199"/>
      <c r="BD861" s="199"/>
      <c r="BE861" s="199"/>
      <c r="BF861" s="199"/>
      <c r="BG861" s="199"/>
      <c r="BH861" s="199"/>
      <c r="BI861" s="199">
        <v>1166.0385000000001</v>
      </c>
      <c r="BJ861" s="198"/>
      <c r="BK861" s="199"/>
      <c r="BL861" s="199"/>
      <c r="BM861" s="163"/>
      <c r="BN861" s="199"/>
      <c r="BO861" s="199"/>
      <c r="BP861" s="199"/>
      <c r="BQ861" s="203"/>
    </row>
    <row r="862" spans="1:270" ht="39.950000000000003" customHeight="1" outlineLevel="1" x14ac:dyDescent="0.3">
      <c r="A862" s="19" t="s">
        <v>1104</v>
      </c>
      <c r="B862" s="14" t="s">
        <v>1496</v>
      </c>
      <c r="C862" s="9" t="s">
        <v>28</v>
      </c>
      <c r="D862" s="66">
        <v>246100337120</v>
      </c>
      <c r="E862" s="196">
        <f t="shared" si="186"/>
        <v>202.11864</v>
      </c>
      <c r="F862" s="159">
        <f t="shared" si="187"/>
        <v>0</v>
      </c>
      <c r="G862" s="160">
        <f t="shared" si="188"/>
        <v>202.11864</v>
      </c>
      <c r="H862" s="166"/>
      <c r="I862" s="165"/>
      <c r="J862" s="160"/>
      <c r="K862" s="160"/>
      <c r="L862" s="166"/>
      <c r="M862" s="165"/>
      <c r="N862" s="165"/>
      <c r="O862" s="165"/>
      <c r="P862" s="160"/>
      <c r="Q862" s="166"/>
      <c r="R862" s="165"/>
      <c r="S862" s="165"/>
      <c r="T862" s="159"/>
      <c r="U862" s="160"/>
      <c r="V862" s="165"/>
      <c r="W862" s="165"/>
      <c r="X862" s="160"/>
      <c r="Y862" s="166"/>
      <c r="Z862" s="160"/>
      <c r="AA862" s="160"/>
      <c r="AB862" s="165"/>
      <c r="AC862" s="165"/>
      <c r="AD862" s="165"/>
      <c r="AE862" s="165"/>
      <c r="AF862" s="160"/>
      <c r="AG862" s="160"/>
      <c r="AH862" s="160"/>
      <c r="AI862" s="160"/>
      <c r="AJ862" s="161"/>
      <c r="AK862" s="162"/>
      <c r="AL862" s="165"/>
      <c r="AM862" s="166"/>
      <c r="AN862" s="165"/>
      <c r="AO862" s="160"/>
      <c r="AP862" s="162"/>
      <c r="AQ862" s="161"/>
      <c r="AR862" s="162"/>
      <c r="AS862" s="161"/>
      <c r="AT862" s="165"/>
      <c r="AU862" s="166"/>
      <c r="AV862" s="165"/>
      <c r="AW862" s="166"/>
      <c r="AX862" s="165"/>
      <c r="AY862" s="165"/>
      <c r="AZ862" s="165"/>
      <c r="BA862" s="165"/>
      <c r="BB862" s="166"/>
      <c r="BC862" s="165"/>
      <c r="BD862" s="165"/>
      <c r="BE862" s="165"/>
      <c r="BF862" s="165"/>
      <c r="BG862" s="165"/>
      <c r="BH862" s="165"/>
      <c r="BI862" s="165">
        <v>202.11864</v>
      </c>
      <c r="BJ862" s="166"/>
      <c r="BK862" s="165"/>
      <c r="BL862" s="165"/>
      <c r="BM862" s="163"/>
      <c r="BN862" s="165"/>
      <c r="BO862" s="165"/>
      <c r="BP862" s="165"/>
      <c r="BQ862" s="167"/>
    </row>
    <row r="863" spans="1:270" ht="39.950000000000003" customHeight="1" outlineLevel="1" x14ac:dyDescent="0.3">
      <c r="A863" s="19" t="s">
        <v>1500</v>
      </c>
      <c r="B863" s="14" t="s">
        <v>1416</v>
      </c>
      <c r="C863" s="9" t="s">
        <v>30</v>
      </c>
      <c r="D863" s="66">
        <v>270605815175</v>
      </c>
      <c r="E863" s="196">
        <f t="shared" si="186"/>
        <v>4186.9982600000003</v>
      </c>
      <c r="F863" s="159">
        <f t="shared" si="187"/>
        <v>1204.0754999999999</v>
      </c>
      <c r="G863" s="160">
        <f t="shared" si="188"/>
        <v>2982.9227599999999</v>
      </c>
      <c r="H863" s="166">
        <v>1178.4963299999999</v>
      </c>
      <c r="I863" s="165">
        <v>392.83210000000003</v>
      </c>
      <c r="J863" s="160"/>
      <c r="K863" s="160"/>
      <c r="L863" s="166">
        <f>16.00055+9.57862</f>
        <v>25.579170000000001</v>
      </c>
      <c r="M863" s="165">
        <f>25.07793+15.01273</f>
        <v>40.09066</v>
      </c>
      <c r="N863" s="165"/>
      <c r="O863" s="165"/>
      <c r="P863" s="160"/>
      <c r="Q863" s="166"/>
      <c r="R863" s="165"/>
      <c r="S863" s="165"/>
      <c r="T863" s="159"/>
      <c r="U863" s="160"/>
      <c r="V863" s="165"/>
      <c r="W863" s="165"/>
      <c r="X863" s="160"/>
      <c r="Y863" s="166"/>
      <c r="Z863" s="160"/>
      <c r="AA863" s="160"/>
      <c r="AB863" s="165"/>
      <c r="AC863" s="165"/>
      <c r="AD863" s="165"/>
      <c r="AE863" s="165"/>
      <c r="AF863" s="160"/>
      <c r="AG863" s="160"/>
      <c r="AH863" s="160"/>
      <c r="AI863" s="160"/>
      <c r="AJ863" s="161"/>
      <c r="AK863" s="162"/>
      <c r="AL863" s="165"/>
      <c r="AM863" s="166"/>
      <c r="AN863" s="165"/>
      <c r="AO863" s="160"/>
      <c r="AP863" s="162"/>
      <c r="AQ863" s="161"/>
      <c r="AR863" s="162"/>
      <c r="AS863" s="161"/>
      <c r="AT863" s="165"/>
      <c r="AU863" s="166"/>
      <c r="AV863" s="165"/>
      <c r="AW863" s="166"/>
      <c r="AX863" s="165"/>
      <c r="AY863" s="165"/>
      <c r="AZ863" s="165"/>
      <c r="BA863" s="165"/>
      <c r="BB863" s="166"/>
      <c r="BC863" s="165"/>
      <c r="BD863" s="165"/>
      <c r="BE863" s="165"/>
      <c r="BF863" s="165"/>
      <c r="BG863" s="165"/>
      <c r="BH863" s="165">
        <v>2550</v>
      </c>
      <c r="BI863" s="165"/>
      <c r="BJ863" s="166"/>
      <c r="BK863" s="165"/>
      <c r="BL863" s="165"/>
      <c r="BM863" s="163"/>
      <c r="BN863" s="165"/>
      <c r="BO863" s="165"/>
      <c r="BP863" s="165"/>
      <c r="BQ863" s="167"/>
    </row>
    <row r="864" spans="1:270" ht="39.950000000000003" customHeight="1" outlineLevel="1" x14ac:dyDescent="0.3">
      <c r="A864" s="19" t="s">
        <v>1503</v>
      </c>
      <c r="B864" s="14" t="s">
        <v>1394</v>
      </c>
      <c r="C864" s="9" t="s">
        <v>30</v>
      </c>
      <c r="D864" s="66">
        <v>190800974531</v>
      </c>
      <c r="E864" s="196">
        <f t="shared" si="186"/>
        <v>5014.3224799999998</v>
      </c>
      <c r="F864" s="159">
        <f t="shared" si="187"/>
        <v>88.268249999999995</v>
      </c>
      <c r="G864" s="160">
        <f t="shared" si="188"/>
        <v>4926.0542299999997</v>
      </c>
      <c r="H864" s="166">
        <v>88.268249999999995</v>
      </c>
      <c r="I864" s="165">
        <v>29.422750000000001</v>
      </c>
      <c r="J864" s="160"/>
      <c r="K864" s="160"/>
      <c r="L864" s="166"/>
      <c r="M864" s="165"/>
      <c r="N864" s="165"/>
      <c r="O864" s="165"/>
      <c r="P864" s="160"/>
      <c r="Q864" s="166"/>
      <c r="R864" s="165"/>
      <c r="S864" s="165"/>
      <c r="T864" s="159"/>
      <c r="U864" s="160"/>
      <c r="V864" s="165"/>
      <c r="W864" s="165"/>
      <c r="X864" s="160"/>
      <c r="Y864" s="166"/>
      <c r="Z864" s="160"/>
      <c r="AA864" s="160"/>
      <c r="AB864" s="165"/>
      <c r="AC864" s="165"/>
      <c r="AD864" s="165"/>
      <c r="AE864" s="165"/>
      <c r="AF864" s="160"/>
      <c r="AG864" s="160"/>
      <c r="AH864" s="160"/>
      <c r="AI864" s="160"/>
      <c r="AJ864" s="161"/>
      <c r="AK864" s="162"/>
      <c r="AL864" s="165"/>
      <c r="AM864" s="166"/>
      <c r="AN864" s="165"/>
      <c r="AO864" s="160"/>
      <c r="AP864" s="162"/>
      <c r="AQ864" s="161"/>
      <c r="AR864" s="162"/>
      <c r="AS864" s="161"/>
      <c r="AT864" s="165"/>
      <c r="AU864" s="166"/>
      <c r="AV864" s="165"/>
      <c r="AW864" s="166"/>
      <c r="AX864" s="165"/>
      <c r="AY864" s="165"/>
      <c r="AZ864" s="165"/>
      <c r="BA864" s="165"/>
      <c r="BB864" s="166"/>
      <c r="BC864" s="165"/>
      <c r="BD864" s="165"/>
      <c r="BE864" s="165"/>
      <c r="BF864" s="165">
        <v>2896.63148</v>
      </c>
      <c r="BG864" s="165"/>
      <c r="BH864" s="165">
        <v>2000</v>
      </c>
      <c r="BI864" s="165"/>
      <c r="BJ864" s="166"/>
      <c r="BK864" s="165"/>
      <c r="BL864" s="165"/>
      <c r="BM864" s="163"/>
      <c r="BN864" s="165"/>
      <c r="BO864" s="165"/>
      <c r="BP864" s="165"/>
      <c r="BQ864" s="167"/>
    </row>
    <row r="865" spans="1:270" ht="39.950000000000003" customHeight="1" outlineLevel="1" x14ac:dyDescent="0.3">
      <c r="A865" s="15" t="s">
        <v>1096</v>
      </c>
      <c r="B865" s="14" t="s">
        <v>1509</v>
      </c>
      <c r="C865" s="9" t="s">
        <v>1510</v>
      </c>
      <c r="D865" s="66">
        <v>2463243565</v>
      </c>
      <c r="E865" s="196">
        <f t="shared" si="186"/>
        <v>2153.1747399999999</v>
      </c>
      <c r="F865" s="159">
        <f t="shared" si="187"/>
        <v>2045.5160100000001</v>
      </c>
      <c r="G865" s="160">
        <f t="shared" si="188"/>
        <v>107.65873000000001</v>
      </c>
      <c r="H865" s="166"/>
      <c r="I865" s="165"/>
      <c r="J865" s="160"/>
      <c r="K865" s="160"/>
      <c r="L865" s="166"/>
      <c r="M865" s="165"/>
      <c r="N865" s="165"/>
      <c r="O865" s="165"/>
      <c r="P865" s="160"/>
      <c r="Q865" s="166"/>
      <c r="R865" s="165"/>
      <c r="S865" s="165"/>
      <c r="T865" s="159"/>
      <c r="U865" s="160"/>
      <c r="V865" s="165"/>
      <c r="W865" s="165"/>
      <c r="X865" s="160"/>
      <c r="Y865" s="166"/>
      <c r="Z865" s="160"/>
      <c r="AA865" s="160"/>
      <c r="AB865" s="165"/>
      <c r="AC865" s="165"/>
      <c r="AD865" s="165"/>
      <c r="AE865" s="165"/>
      <c r="AF865" s="160"/>
      <c r="AG865" s="160"/>
      <c r="AH865" s="160"/>
      <c r="AI865" s="160"/>
      <c r="AJ865" s="161"/>
      <c r="AK865" s="162"/>
      <c r="AL865" s="165"/>
      <c r="AM865" s="166"/>
      <c r="AN865" s="165"/>
      <c r="AO865" s="160"/>
      <c r="AP865" s="162"/>
      <c r="AQ865" s="161"/>
      <c r="AR865" s="162"/>
      <c r="AS865" s="161"/>
      <c r="AT865" s="165"/>
      <c r="AU865" s="166">
        <v>2045.5160100000001</v>
      </c>
      <c r="AV865" s="165">
        <v>107.65873000000001</v>
      </c>
      <c r="AW865" s="166"/>
      <c r="AX865" s="165"/>
      <c r="AY865" s="165"/>
      <c r="AZ865" s="165"/>
      <c r="BA865" s="165"/>
      <c r="BB865" s="166"/>
      <c r="BC865" s="165"/>
      <c r="BD865" s="165"/>
      <c r="BE865" s="165"/>
      <c r="BF865" s="165"/>
      <c r="BG865" s="165"/>
      <c r="BH865" s="165"/>
      <c r="BI865" s="165"/>
      <c r="BJ865" s="166"/>
      <c r="BK865" s="165"/>
      <c r="BL865" s="165"/>
      <c r="BM865" s="163"/>
      <c r="BN865" s="165"/>
      <c r="BO865" s="165"/>
      <c r="BP865" s="165"/>
      <c r="BQ865" s="167"/>
    </row>
    <row r="866" spans="1:270" ht="39.950000000000003" customHeight="1" outlineLevel="1" x14ac:dyDescent="0.3">
      <c r="A866" s="15" t="s">
        <v>1096</v>
      </c>
      <c r="B866" s="14" t="s">
        <v>1511</v>
      </c>
      <c r="C866" s="9" t="s">
        <v>87</v>
      </c>
      <c r="D866" s="66">
        <v>2463214758</v>
      </c>
      <c r="E866" s="196">
        <f t="shared" si="186"/>
        <v>189.50413</v>
      </c>
      <c r="F866" s="159">
        <f t="shared" si="187"/>
        <v>0</v>
      </c>
      <c r="G866" s="160">
        <f t="shared" si="188"/>
        <v>189.50413</v>
      </c>
      <c r="H866" s="166"/>
      <c r="I866" s="165"/>
      <c r="J866" s="160"/>
      <c r="K866" s="160"/>
      <c r="L866" s="166"/>
      <c r="M866" s="165"/>
      <c r="N866" s="165"/>
      <c r="O866" s="165"/>
      <c r="P866" s="160"/>
      <c r="Q866" s="166"/>
      <c r="R866" s="165"/>
      <c r="S866" s="165"/>
      <c r="T866" s="159"/>
      <c r="U866" s="160"/>
      <c r="V866" s="165"/>
      <c r="W866" s="165"/>
      <c r="X866" s="160"/>
      <c r="Y866" s="166"/>
      <c r="Z866" s="160"/>
      <c r="AA866" s="160"/>
      <c r="AB866" s="165"/>
      <c r="AC866" s="165"/>
      <c r="AD866" s="165"/>
      <c r="AE866" s="165"/>
      <c r="AF866" s="160"/>
      <c r="AG866" s="160"/>
      <c r="AH866" s="160"/>
      <c r="AI866" s="160"/>
      <c r="AJ866" s="161"/>
      <c r="AK866" s="162"/>
      <c r="AL866" s="165"/>
      <c r="AM866" s="166"/>
      <c r="AN866" s="165"/>
      <c r="AO866" s="160"/>
      <c r="AP866" s="162"/>
      <c r="AQ866" s="161"/>
      <c r="AR866" s="162"/>
      <c r="AS866" s="161"/>
      <c r="AT866" s="165"/>
      <c r="AU866" s="166"/>
      <c r="AV866" s="165"/>
      <c r="AW866" s="166"/>
      <c r="AX866" s="165"/>
      <c r="AY866" s="165"/>
      <c r="AZ866" s="165"/>
      <c r="BA866" s="165"/>
      <c r="BB866" s="166"/>
      <c r="BC866" s="165"/>
      <c r="BD866" s="165"/>
      <c r="BE866" s="165"/>
      <c r="BF866" s="165"/>
      <c r="BG866" s="165"/>
      <c r="BH866" s="165"/>
      <c r="BI866" s="165">
        <v>189.50413</v>
      </c>
      <c r="BJ866" s="166"/>
      <c r="BK866" s="165"/>
      <c r="BL866" s="165"/>
      <c r="BM866" s="163"/>
      <c r="BN866" s="165"/>
      <c r="BO866" s="165"/>
      <c r="BP866" s="165"/>
      <c r="BQ866" s="167"/>
    </row>
    <row r="867" spans="1:270" ht="39.950000000000003" customHeight="1" outlineLevel="1" x14ac:dyDescent="0.3">
      <c r="A867" s="15" t="s">
        <v>1096</v>
      </c>
      <c r="B867" s="14" t="s">
        <v>1512</v>
      </c>
      <c r="C867" s="9" t="s">
        <v>87</v>
      </c>
      <c r="D867" s="66">
        <v>2462053709</v>
      </c>
      <c r="E867" s="196">
        <f t="shared" si="186"/>
        <v>6997.1687000000002</v>
      </c>
      <c r="F867" s="159">
        <f t="shared" si="187"/>
        <v>0</v>
      </c>
      <c r="G867" s="160">
        <f t="shared" si="188"/>
        <v>6997.1687000000002</v>
      </c>
      <c r="H867" s="166"/>
      <c r="I867" s="165"/>
      <c r="J867" s="160"/>
      <c r="K867" s="160"/>
      <c r="L867" s="166"/>
      <c r="M867" s="165"/>
      <c r="N867" s="165"/>
      <c r="O867" s="165"/>
      <c r="P867" s="160"/>
      <c r="Q867" s="166"/>
      <c r="R867" s="165"/>
      <c r="S867" s="165"/>
      <c r="T867" s="159"/>
      <c r="U867" s="160"/>
      <c r="V867" s="165"/>
      <c r="W867" s="165"/>
      <c r="X867" s="160"/>
      <c r="Y867" s="166"/>
      <c r="Z867" s="160"/>
      <c r="AA867" s="160"/>
      <c r="AB867" s="165"/>
      <c r="AC867" s="165"/>
      <c r="AD867" s="165"/>
      <c r="AE867" s="165"/>
      <c r="AF867" s="160"/>
      <c r="AG867" s="160"/>
      <c r="AH867" s="160"/>
      <c r="AI867" s="160"/>
      <c r="AJ867" s="161"/>
      <c r="AK867" s="162"/>
      <c r="AL867" s="165"/>
      <c r="AM867" s="166"/>
      <c r="AN867" s="165"/>
      <c r="AO867" s="160"/>
      <c r="AP867" s="162"/>
      <c r="AQ867" s="161"/>
      <c r="AR867" s="162"/>
      <c r="AS867" s="161"/>
      <c r="AT867" s="165"/>
      <c r="AU867" s="166"/>
      <c r="AV867" s="165"/>
      <c r="AW867" s="166"/>
      <c r="AX867" s="165"/>
      <c r="AY867" s="165"/>
      <c r="AZ867" s="165"/>
      <c r="BA867" s="165"/>
      <c r="BB867" s="166"/>
      <c r="BC867" s="165"/>
      <c r="BD867" s="165"/>
      <c r="BE867" s="165"/>
      <c r="BF867" s="165"/>
      <c r="BG867" s="165"/>
      <c r="BH867" s="165"/>
      <c r="BI867" s="165">
        <v>6997.1687000000002</v>
      </c>
      <c r="BJ867" s="166"/>
      <c r="BK867" s="165"/>
      <c r="BL867" s="165"/>
      <c r="BM867" s="163"/>
      <c r="BN867" s="165"/>
      <c r="BO867" s="165"/>
      <c r="BP867" s="165"/>
      <c r="BQ867" s="167"/>
    </row>
    <row r="868" spans="1:270" ht="39.950000000000003" customHeight="1" outlineLevel="1" x14ac:dyDescent="0.3">
      <c r="A868" s="15" t="s">
        <v>1096</v>
      </c>
      <c r="B868" s="14" t="s">
        <v>1513</v>
      </c>
      <c r="C868" s="9" t="s">
        <v>87</v>
      </c>
      <c r="D868" s="66">
        <v>2460226057</v>
      </c>
      <c r="E868" s="196">
        <f t="shared" si="186"/>
        <v>221.82185999999999</v>
      </c>
      <c r="F868" s="159">
        <f t="shared" si="187"/>
        <v>0</v>
      </c>
      <c r="G868" s="160">
        <f t="shared" si="188"/>
        <v>221.82185999999999</v>
      </c>
      <c r="H868" s="166"/>
      <c r="I868" s="165"/>
      <c r="J868" s="160"/>
      <c r="K868" s="160"/>
      <c r="L868" s="166"/>
      <c r="M868" s="165"/>
      <c r="N868" s="165"/>
      <c r="O868" s="165"/>
      <c r="P868" s="160"/>
      <c r="Q868" s="166"/>
      <c r="R868" s="165"/>
      <c r="S868" s="165"/>
      <c r="T868" s="159"/>
      <c r="U868" s="160"/>
      <c r="V868" s="165"/>
      <c r="W868" s="165"/>
      <c r="X868" s="160"/>
      <c r="Y868" s="166"/>
      <c r="Z868" s="160"/>
      <c r="AA868" s="160"/>
      <c r="AB868" s="165"/>
      <c r="AC868" s="165"/>
      <c r="AD868" s="165"/>
      <c r="AE868" s="165"/>
      <c r="AF868" s="160"/>
      <c r="AG868" s="160"/>
      <c r="AH868" s="160"/>
      <c r="AI868" s="160"/>
      <c r="AJ868" s="161"/>
      <c r="AK868" s="162"/>
      <c r="AL868" s="165"/>
      <c r="AM868" s="166"/>
      <c r="AN868" s="165"/>
      <c r="AO868" s="160"/>
      <c r="AP868" s="162"/>
      <c r="AQ868" s="161"/>
      <c r="AR868" s="162"/>
      <c r="AS868" s="161"/>
      <c r="AT868" s="165"/>
      <c r="AU868" s="166"/>
      <c r="AV868" s="165"/>
      <c r="AW868" s="166"/>
      <c r="AX868" s="165"/>
      <c r="AY868" s="165"/>
      <c r="AZ868" s="165"/>
      <c r="BA868" s="165"/>
      <c r="BB868" s="166"/>
      <c r="BC868" s="165"/>
      <c r="BD868" s="165"/>
      <c r="BE868" s="165"/>
      <c r="BF868" s="165"/>
      <c r="BG868" s="165"/>
      <c r="BH868" s="165"/>
      <c r="BI868" s="165">
        <v>221.82185999999999</v>
      </c>
      <c r="BJ868" s="166"/>
      <c r="BK868" s="165"/>
      <c r="BL868" s="165"/>
      <c r="BM868" s="163"/>
      <c r="BN868" s="165"/>
      <c r="BO868" s="165"/>
      <c r="BP868" s="165"/>
      <c r="BQ868" s="167"/>
    </row>
    <row r="869" spans="1:270" ht="39.950000000000003" customHeight="1" outlineLevel="1" x14ac:dyDescent="0.3">
      <c r="A869" s="15" t="s">
        <v>1096</v>
      </c>
      <c r="B869" s="14" t="s">
        <v>1367</v>
      </c>
      <c r="C869" s="9" t="s">
        <v>87</v>
      </c>
      <c r="D869" s="66">
        <v>2464126230</v>
      </c>
      <c r="E869" s="196">
        <f t="shared" si="186"/>
        <v>535.25771999999995</v>
      </c>
      <c r="F869" s="159">
        <f t="shared" si="187"/>
        <v>0</v>
      </c>
      <c r="G869" s="160">
        <f t="shared" si="188"/>
        <v>535.25771999999995</v>
      </c>
      <c r="H869" s="166"/>
      <c r="I869" s="165"/>
      <c r="J869" s="160"/>
      <c r="K869" s="160"/>
      <c r="L869" s="166"/>
      <c r="M869" s="165"/>
      <c r="N869" s="165"/>
      <c r="O869" s="165"/>
      <c r="P869" s="160"/>
      <c r="Q869" s="166"/>
      <c r="R869" s="165"/>
      <c r="S869" s="165"/>
      <c r="T869" s="159"/>
      <c r="U869" s="160"/>
      <c r="V869" s="165"/>
      <c r="W869" s="165"/>
      <c r="X869" s="160"/>
      <c r="Y869" s="166"/>
      <c r="Z869" s="160"/>
      <c r="AA869" s="160"/>
      <c r="AB869" s="165"/>
      <c r="AC869" s="165"/>
      <c r="AD869" s="165"/>
      <c r="AE869" s="165"/>
      <c r="AF869" s="160">
        <v>197.67071999999999</v>
      </c>
      <c r="AG869" s="160"/>
      <c r="AH869" s="160"/>
      <c r="AI869" s="160"/>
      <c r="AJ869" s="161"/>
      <c r="AK869" s="162"/>
      <c r="AL869" s="165"/>
      <c r="AM869" s="166"/>
      <c r="AN869" s="165"/>
      <c r="AO869" s="160"/>
      <c r="AP869" s="162"/>
      <c r="AQ869" s="161"/>
      <c r="AR869" s="162"/>
      <c r="AS869" s="161"/>
      <c r="AT869" s="165"/>
      <c r="AU869" s="166"/>
      <c r="AV869" s="165"/>
      <c r="AW869" s="166"/>
      <c r="AX869" s="165"/>
      <c r="AY869" s="165"/>
      <c r="AZ869" s="165"/>
      <c r="BA869" s="165"/>
      <c r="BB869" s="166"/>
      <c r="BC869" s="165"/>
      <c r="BD869" s="165"/>
      <c r="BE869" s="165"/>
      <c r="BF869" s="165"/>
      <c r="BG869" s="165"/>
      <c r="BH869" s="165"/>
      <c r="BI869" s="165">
        <v>337.58699999999999</v>
      </c>
      <c r="BJ869" s="166"/>
      <c r="BK869" s="165"/>
      <c r="BL869" s="165"/>
      <c r="BM869" s="163"/>
      <c r="BN869" s="165"/>
      <c r="BO869" s="165"/>
      <c r="BP869" s="165"/>
      <c r="BQ869" s="167"/>
    </row>
    <row r="870" spans="1:270" ht="39.950000000000003" customHeight="1" outlineLevel="1" x14ac:dyDescent="0.3">
      <c r="A870" s="15" t="s">
        <v>1096</v>
      </c>
      <c r="B870" s="14" t="s">
        <v>1099</v>
      </c>
      <c r="C870" s="9" t="s">
        <v>87</v>
      </c>
      <c r="D870" s="66">
        <v>2463047240</v>
      </c>
      <c r="E870" s="196">
        <f t="shared" si="186"/>
        <v>110.55</v>
      </c>
      <c r="F870" s="159">
        <f t="shared" si="187"/>
        <v>0</v>
      </c>
      <c r="G870" s="160">
        <f t="shared" si="188"/>
        <v>110.55</v>
      </c>
      <c r="H870" s="166"/>
      <c r="I870" s="165"/>
      <c r="J870" s="160"/>
      <c r="K870" s="160"/>
      <c r="L870" s="166"/>
      <c r="M870" s="165"/>
      <c r="N870" s="165"/>
      <c r="O870" s="165"/>
      <c r="P870" s="160"/>
      <c r="Q870" s="166"/>
      <c r="R870" s="165"/>
      <c r="S870" s="165"/>
      <c r="T870" s="159"/>
      <c r="U870" s="160"/>
      <c r="V870" s="165"/>
      <c r="W870" s="165"/>
      <c r="X870" s="160"/>
      <c r="Y870" s="166"/>
      <c r="Z870" s="160"/>
      <c r="AA870" s="160"/>
      <c r="AB870" s="165"/>
      <c r="AC870" s="165"/>
      <c r="AD870" s="165"/>
      <c r="AE870" s="165"/>
      <c r="AF870" s="160"/>
      <c r="AG870" s="160"/>
      <c r="AH870" s="160"/>
      <c r="AI870" s="160"/>
      <c r="AJ870" s="161"/>
      <c r="AK870" s="162"/>
      <c r="AL870" s="165"/>
      <c r="AM870" s="166"/>
      <c r="AN870" s="165"/>
      <c r="AO870" s="160"/>
      <c r="AP870" s="162"/>
      <c r="AQ870" s="161"/>
      <c r="AR870" s="162"/>
      <c r="AS870" s="161"/>
      <c r="AT870" s="165"/>
      <c r="AU870" s="166"/>
      <c r="AV870" s="165"/>
      <c r="AW870" s="166"/>
      <c r="AX870" s="165"/>
      <c r="AY870" s="165"/>
      <c r="AZ870" s="165"/>
      <c r="BA870" s="165"/>
      <c r="BB870" s="166"/>
      <c r="BC870" s="165"/>
      <c r="BD870" s="165"/>
      <c r="BE870" s="165"/>
      <c r="BF870" s="165"/>
      <c r="BG870" s="165"/>
      <c r="BH870" s="165"/>
      <c r="BI870" s="165">
        <v>110.55</v>
      </c>
      <c r="BJ870" s="166"/>
      <c r="BK870" s="165"/>
      <c r="BL870" s="165"/>
      <c r="BM870" s="163"/>
      <c r="BN870" s="165"/>
      <c r="BO870" s="165"/>
      <c r="BP870" s="165"/>
      <c r="BQ870" s="167"/>
    </row>
    <row r="871" spans="1:270" ht="39.950000000000003" customHeight="1" outlineLevel="1" x14ac:dyDescent="0.3">
      <c r="A871" s="15" t="s">
        <v>1096</v>
      </c>
      <c r="B871" s="14" t="s">
        <v>1103</v>
      </c>
      <c r="C871" s="9" t="s">
        <v>87</v>
      </c>
      <c r="D871" s="9" t="s">
        <v>1268</v>
      </c>
      <c r="E871" s="196">
        <f t="shared" si="186"/>
        <v>12175.618480000001</v>
      </c>
      <c r="F871" s="159">
        <f t="shared" si="187"/>
        <v>0</v>
      </c>
      <c r="G871" s="160">
        <f t="shared" si="188"/>
        <v>12175.618480000001</v>
      </c>
      <c r="H871" s="166"/>
      <c r="I871" s="165"/>
      <c r="J871" s="160"/>
      <c r="K871" s="160"/>
      <c r="L871" s="166"/>
      <c r="M871" s="165"/>
      <c r="N871" s="165"/>
      <c r="O871" s="165"/>
      <c r="P871" s="160"/>
      <c r="Q871" s="166"/>
      <c r="R871" s="165"/>
      <c r="S871" s="165"/>
      <c r="T871" s="159"/>
      <c r="U871" s="160"/>
      <c r="V871" s="165"/>
      <c r="W871" s="165"/>
      <c r="X871" s="160"/>
      <c r="Y871" s="166"/>
      <c r="Z871" s="160"/>
      <c r="AA871" s="160"/>
      <c r="AB871" s="165"/>
      <c r="AC871" s="165"/>
      <c r="AD871" s="165"/>
      <c r="AE871" s="165"/>
      <c r="AF871" s="160"/>
      <c r="AG871" s="160"/>
      <c r="AH871" s="160"/>
      <c r="AI871" s="160">
        <v>2175.6184800000001</v>
      </c>
      <c r="AJ871" s="161"/>
      <c r="AK871" s="162"/>
      <c r="AL871" s="165"/>
      <c r="AM871" s="166"/>
      <c r="AN871" s="165"/>
      <c r="AO871" s="160"/>
      <c r="AP871" s="162"/>
      <c r="AQ871" s="161"/>
      <c r="AR871" s="162"/>
      <c r="AS871" s="161"/>
      <c r="AT871" s="165"/>
      <c r="AU871" s="166"/>
      <c r="AV871" s="165"/>
      <c r="AW871" s="166"/>
      <c r="AX871" s="165"/>
      <c r="AY871" s="165"/>
      <c r="AZ871" s="165"/>
      <c r="BA871" s="165"/>
      <c r="BB871" s="166"/>
      <c r="BC871" s="165"/>
      <c r="BD871" s="165"/>
      <c r="BE871" s="165"/>
      <c r="BF871" s="165"/>
      <c r="BG871" s="165"/>
      <c r="BH871" s="165"/>
      <c r="BI871" s="165">
        <v>10000</v>
      </c>
      <c r="BJ871" s="166"/>
      <c r="BK871" s="165"/>
      <c r="BL871" s="165"/>
      <c r="BM871" s="163"/>
      <c r="BN871" s="165"/>
      <c r="BO871" s="165"/>
      <c r="BP871" s="165"/>
      <c r="BQ871" s="167"/>
    </row>
    <row r="872" spans="1:270" ht="39.950000000000003" customHeight="1" outlineLevel="1" x14ac:dyDescent="0.3">
      <c r="A872" s="15" t="s">
        <v>1096</v>
      </c>
      <c r="B872" s="14" t="s">
        <v>1483</v>
      </c>
      <c r="C872" s="9" t="s">
        <v>87</v>
      </c>
      <c r="D872" s="9" t="s">
        <v>1484</v>
      </c>
      <c r="E872" s="196">
        <f t="shared" si="186"/>
        <v>641.56844000000001</v>
      </c>
      <c r="F872" s="159">
        <f t="shared" si="187"/>
        <v>0</v>
      </c>
      <c r="G872" s="160">
        <f t="shared" si="188"/>
        <v>641.56844000000001</v>
      </c>
      <c r="H872" s="166"/>
      <c r="I872" s="165"/>
      <c r="J872" s="160"/>
      <c r="K872" s="160"/>
      <c r="L872" s="166"/>
      <c r="M872" s="165"/>
      <c r="N872" s="165"/>
      <c r="O872" s="165"/>
      <c r="P872" s="160"/>
      <c r="Q872" s="166"/>
      <c r="R872" s="165"/>
      <c r="S872" s="165"/>
      <c r="T872" s="159"/>
      <c r="U872" s="160"/>
      <c r="V872" s="165"/>
      <c r="W872" s="165"/>
      <c r="X872" s="160"/>
      <c r="Y872" s="166"/>
      <c r="Z872" s="160"/>
      <c r="AA872" s="160"/>
      <c r="AB872" s="165"/>
      <c r="AC872" s="165"/>
      <c r="AD872" s="165"/>
      <c r="AE872" s="165"/>
      <c r="AF872" s="160"/>
      <c r="AG872" s="160"/>
      <c r="AH872" s="160"/>
      <c r="AI872" s="160"/>
      <c r="AJ872" s="161"/>
      <c r="AK872" s="162"/>
      <c r="AL872" s="165"/>
      <c r="AM872" s="166"/>
      <c r="AN872" s="165"/>
      <c r="AO872" s="160"/>
      <c r="AP872" s="162"/>
      <c r="AQ872" s="161"/>
      <c r="AR872" s="162"/>
      <c r="AS872" s="161"/>
      <c r="AT872" s="165"/>
      <c r="AU872" s="166"/>
      <c r="AV872" s="165"/>
      <c r="AW872" s="166"/>
      <c r="AX872" s="165"/>
      <c r="AY872" s="165"/>
      <c r="AZ872" s="165"/>
      <c r="BA872" s="165"/>
      <c r="BB872" s="166"/>
      <c r="BC872" s="165"/>
      <c r="BD872" s="165"/>
      <c r="BE872" s="165"/>
      <c r="BF872" s="165"/>
      <c r="BG872" s="165"/>
      <c r="BH872" s="165"/>
      <c r="BI872" s="165">
        <v>641.56844000000001</v>
      </c>
      <c r="BJ872" s="166"/>
      <c r="BK872" s="165"/>
      <c r="BL872" s="165"/>
      <c r="BM872" s="163"/>
      <c r="BN872" s="165"/>
      <c r="BO872" s="165"/>
      <c r="BP872" s="165"/>
      <c r="BQ872" s="167"/>
    </row>
    <row r="873" spans="1:270" ht="39.950000000000003" customHeight="1" outlineLevel="1" x14ac:dyDescent="0.3">
      <c r="A873" s="15" t="s">
        <v>1096</v>
      </c>
      <c r="B873" s="14" t="s">
        <v>1100</v>
      </c>
      <c r="C873" s="9" t="s">
        <v>87</v>
      </c>
      <c r="D873" s="66" t="s">
        <v>1101</v>
      </c>
      <c r="E873" s="196">
        <f t="shared" si="186"/>
        <v>166.10763</v>
      </c>
      <c r="F873" s="159">
        <f t="shared" si="187"/>
        <v>0</v>
      </c>
      <c r="G873" s="160">
        <f t="shared" si="188"/>
        <v>166.10763</v>
      </c>
      <c r="H873" s="166"/>
      <c r="I873" s="165"/>
      <c r="J873" s="160"/>
      <c r="K873" s="160"/>
      <c r="L873" s="166"/>
      <c r="M873" s="165"/>
      <c r="N873" s="165"/>
      <c r="O873" s="165"/>
      <c r="P873" s="160"/>
      <c r="Q873" s="166"/>
      <c r="R873" s="165"/>
      <c r="S873" s="165"/>
      <c r="T873" s="159"/>
      <c r="U873" s="160"/>
      <c r="V873" s="165"/>
      <c r="W873" s="165"/>
      <c r="X873" s="160"/>
      <c r="Y873" s="166"/>
      <c r="Z873" s="160"/>
      <c r="AA873" s="160"/>
      <c r="AB873" s="165"/>
      <c r="AC873" s="165"/>
      <c r="AD873" s="165"/>
      <c r="AE873" s="165"/>
      <c r="AF873" s="160"/>
      <c r="AG873" s="160"/>
      <c r="AH873" s="160"/>
      <c r="AI873" s="160"/>
      <c r="AJ873" s="161"/>
      <c r="AK873" s="162"/>
      <c r="AL873" s="165"/>
      <c r="AM873" s="166"/>
      <c r="AN873" s="165"/>
      <c r="AO873" s="160"/>
      <c r="AP873" s="162"/>
      <c r="AQ873" s="161"/>
      <c r="AR873" s="162"/>
      <c r="AS873" s="161"/>
      <c r="AT873" s="165"/>
      <c r="AU873" s="166"/>
      <c r="AV873" s="165"/>
      <c r="AW873" s="166"/>
      <c r="AX873" s="165"/>
      <c r="AY873" s="165"/>
      <c r="AZ873" s="165"/>
      <c r="BA873" s="165"/>
      <c r="BB873" s="166"/>
      <c r="BC873" s="165"/>
      <c r="BD873" s="165"/>
      <c r="BE873" s="165"/>
      <c r="BF873" s="165"/>
      <c r="BG873" s="165"/>
      <c r="BH873" s="165"/>
      <c r="BI873" s="165">
        <v>166.10763</v>
      </c>
      <c r="BJ873" s="166"/>
      <c r="BK873" s="165"/>
      <c r="BL873" s="165"/>
      <c r="BM873" s="163"/>
      <c r="BN873" s="165"/>
      <c r="BO873" s="165"/>
      <c r="BP873" s="165"/>
      <c r="BQ873" s="167"/>
    </row>
    <row r="874" spans="1:270" ht="56.25" customHeight="1" outlineLevel="1" x14ac:dyDescent="0.3">
      <c r="A874" s="15" t="s">
        <v>1096</v>
      </c>
      <c r="B874" s="14" t="s">
        <v>1097</v>
      </c>
      <c r="C874" s="9" t="s">
        <v>723</v>
      </c>
      <c r="D874" s="66">
        <v>2462211521</v>
      </c>
      <c r="E874" s="196">
        <f t="shared" si="186"/>
        <v>365.4</v>
      </c>
      <c r="F874" s="159">
        <f t="shared" si="187"/>
        <v>0</v>
      </c>
      <c r="G874" s="160">
        <f t="shared" si="188"/>
        <v>365.4</v>
      </c>
      <c r="H874" s="166"/>
      <c r="I874" s="165"/>
      <c r="J874" s="160"/>
      <c r="K874" s="160"/>
      <c r="L874" s="166"/>
      <c r="M874" s="165"/>
      <c r="N874" s="165"/>
      <c r="O874" s="165"/>
      <c r="P874" s="160"/>
      <c r="Q874" s="166"/>
      <c r="R874" s="165"/>
      <c r="S874" s="165"/>
      <c r="T874" s="159"/>
      <c r="U874" s="160"/>
      <c r="V874" s="165"/>
      <c r="W874" s="165"/>
      <c r="X874" s="160"/>
      <c r="Y874" s="166"/>
      <c r="Z874" s="160"/>
      <c r="AA874" s="160"/>
      <c r="AB874" s="165"/>
      <c r="AC874" s="165"/>
      <c r="AD874" s="165"/>
      <c r="AE874" s="165"/>
      <c r="AF874" s="160"/>
      <c r="AG874" s="160"/>
      <c r="AH874" s="160"/>
      <c r="AI874" s="160"/>
      <c r="AJ874" s="161"/>
      <c r="AK874" s="162"/>
      <c r="AL874" s="165"/>
      <c r="AM874" s="166"/>
      <c r="AN874" s="165"/>
      <c r="AO874" s="160"/>
      <c r="AP874" s="162"/>
      <c r="AQ874" s="161"/>
      <c r="AR874" s="162"/>
      <c r="AS874" s="161"/>
      <c r="AT874" s="165"/>
      <c r="AU874" s="166"/>
      <c r="AV874" s="165"/>
      <c r="AW874" s="166"/>
      <c r="AX874" s="165"/>
      <c r="AY874" s="165"/>
      <c r="AZ874" s="165"/>
      <c r="BA874" s="165"/>
      <c r="BB874" s="166"/>
      <c r="BC874" s="165"/>
      <c r="BD874" s="165"/>
      <c r="BE874" s="165"/>
      <c r="BF874" s="165">
        <v>365.4</v>
      </c>
      <c r="BG874" s="165"/>
      <c r="BH874" s="165"/>
      <c r="BI874" s="165"/>
      <c r="BJ874" s="166"/>
      <c r="BK874" s="165"/>
      <c r="BL874" s="165"/>
      <c r="BM874" s="163"/>
      <c r="BN874" s="165"/>
      <c r="BO874" s="165"/>
      <c r="BP874" s="165"/>
      <c r="BQ874" s="167"/>
    </row>
    <row r="875" spans="1:270" ht="39.950000000000003" customHeight="1" outlineLevel="1" thickBot="1" x14ac:dyDescent="0.35">
      <c r="A875" s="15" t="s">
        <v>1396</v>
      </c>
      <c r="B875" s="14" t="s">
        <v>1485</v>
      </c>
      <c r="C875" s="81" t="s">
        <v>1486</v>
      </c>
      <c r="D875" s="66">
        <v>2466022067</v>
      </c>
      <c r="E875" s="196">
        <f t="shared" si="186"/>
        <v>988.54899999999998</v>
      </c>
      <c r="F875" s="159">
        <f t="shared" si="187"/>
        <v>0</v>
      </c>
      <c r="G875" s="160">
        <f t="shared" si="188"/>
        <v>988.54899999999998</v>
      </c>
      <c r="H875" s="166"/>
      <c r="I875" s="165"/>
      <c r="J875" s="160"/>
      <c r="K875" s="160"/>
      <c r="L875" s="166"/>
      <c r="M875" s="165"/>
      <c r="N875" s="165"/>
      <c r="O875" s="165"/>
      <c r="P875" s="160"/>
      <c r="Q875" s="166"/>
      <c r="R875" s="165"/>
      <c r="S875" s="165"/>
      <c r="T875" s="159"/>
      <c r="U875" s="160"/>
      <c r="V875" s="165"/>
      <c r="W875" s="165"/>
      <c r="X875" s="160"/>
      <c r="Y875" s="166"/>
      <c r="Z875" s="160"/>
      <c r="AA875" s="160"/>
      <c r="AB875" s="165"/>
      <c r="AC875" s="165"/>
      <c r="AD875" s="165"/>
      <c r="AE875" s="165"/>
      <c r="AF875" s="160"/>
      <c r="AG875" s="160"/>
      <c r="AH875" s="160"/>
      <c r="AI875" s="160"/>
      <c r="AJ875" s="161"/>
      <c r="AK875" s="162"/>
      <c r="AL875" s="165"/>
      <c r="AM875" s="166"/>
      <c r="AN875" s="165"/>
      <c r="AO875" s="160"/>
      <c r="AP875" s="162"/>
      <c r="AQ875" s="161"/>
      <c r="AR875" s="162"/>
      <c r="AS875" s="161"/>
      <c r="AT875" s="165"/>
      <c r="AU875" s="166"/>
      <c r="AV875" s="165"/>
      <c r="AW875" s="166"/>
      <c r="AX875" s="165"/>
      <c r="AY875" s="165"/>
      <c r="AZ875" s="165"/>
      <c r="BA875" s="165"/>
      <c r="BB875" s="166"/>
      <c r="BC875" s="165"/>
      <c r="BD875" s="165"/>
      <c r="BE875" s="165"/>
      <c r="BF875" s="165"/>
      <c r="BG875" s="165"/>
      <c r="BH875" s="165"/>
      <c r="BI875" s="165">
        <v>988.54899999999998</v>
      </c>
      <c r="BJ875" s="166"/>
      <c r="BK875" s="165"/>
      <c r="BL875" s="165"/>
      <c r="BM875" s="163"/>
      <c r="BN875" s="165"/>
      <c r="BO875" s="165"/>
      <c r="BP875" s="165"/>
      <c r="BQ875" s="167"/>
    </row>
    <row r="876" spans="1:270" s="34" customFormat="1" ht="39.950000000000003" customHeight="1" thickBot="1" x14ac:dyDescent="0.35">
      <c r="A876" s="109" t="s">
        <v>1105</v>
      </c>
      <c r="B876" s="110"/>
      <c r="C876" s="111" t="s">
        <v>80</v>
      </c>
      <c r="D876" s="112"/>
      <c r="E876" s="194">
        <f t="shared" ref="E876:AI876" si="189">SUBTOTAL(9,E861:E875)</f>
        <v>35531.704879999998</v>
      </c>
      <c r="F876" s="194">
        <f t="shared" si="189"/>
        <v>3337.8597600000003</v>
      </c>
      <c r="G876" s="194">
        <f t="shared" si="189"/>
        <v>32193.845119999998</v>
      </c>
      <c r="H876" s="194">
        <f t="shared" si="189"/>
        <v>1266.76458</v>
      </c>
      <c r="I876" s="194">
        <f t="shared" si="189"/>
        <v>422.25485000000003</v>
      </c>
      <c r="J876" s="194">
        <f t="shared" si="189"/>
        <v>0</v>
      </c>
      <c r="K876" s="194">
        <f t="shared" si="189"/>
        <v>0</v>
      </c>
      <c r="L876" s="194">
        <f t="shared" si="189"/>
        <v>25.579170000000001</v>
      </c>
      <c r="M876" s="194">
        <f t="shared" si="189"/>
        <v>40.09066</v>
      </c>
      <c r="N876" s="194">
        <f t="shared" si="189"/>
        <v>0</v>
      </c>
      <c r="O876" s="194">
        <f>SUBTOTAL(9,O861:O875)</f>
        <v>0</v>
      </c>
      <c r="P876" s="194">
        <f>SUBTOTAL(9,P861:P875)</f>
        <v>0</v>
      </c>
      <c r="Q876" s="194">
        <f t="shared" si="189"/>
        <v>0</v>
      </c>
      <c r="R876" s="194">
        <f t="shared" si="189"/>
        <v>0</v>
      </c>
      <c r="S876" s="194">
        <f t="shared" si="189"/>
        <v>0</v>
      </c>
      <c r="T876" s="194">
        <f>SUBTOTAL(9,T861:T875)</f>
        <v>0</v>
      </c>
      <c r="U876" s="194">
        <f>SUBTOTAL(9,U861:U875)</f>
        <v>0</v>
      </c>
      <c r="V876" s="194">
        <f t="shared" si="189"/>
        <v>0</v>
      </c>
      <c r="W876" s="194">
        <f t="shared" si="189"/>
        <v>0</v>
      </c>
      <c r="X876" s="194">
        <f>SUBTOTAL(9,X861:X875)</f>
        <v>0</v>
      </c>
      <c r="Y876" s="194">
        <f t="shared" si="189"/>
        <v>0</v>
      </c>
      <c r="Z876" s="194">
        <f t="shared" si="189"/>
        <v>0</v>
      </c>
      <c r="AA876" s="194">
        <f t="shared" si="189"/>
        <v>0</v>
      </c>
      <c r="AB876" s="194">
        <f t="shared" si="189"/>
        <v>0</v>
      </c>
      <c r="AC876" s="194">
        <f t="shared" si="189"/>
        <v>0</v>
      </c>
      <c r="AD876" s="194">
        <f>SUBTOTAL(9,AD861:AD875)</f>
        <v>0</v>
      </c>
      <c r="AE876" s="194">
        <f t="shared" si="189"/>
        <v>0</v>
      </c>
      <c r="AF876" s="194">
        <f t="shared" si="189"/>
        <v>197.67071999999999</v>
      </c>
      <c r="AG876" s="194">
        <f t="shared" si="189"/>
        <v>0</v>
      </c>
      <c r="AH876" s="194">
        <f t="shared" si="189"/>
        <v>0</v>
      </c>
      <c r="AI876" s="194">
        <f t="shared" si="189"/>
        <v>2593.1247800000001</v>
      </c>
      <c r="AJ876" s="194">
        <f t="shared" ref="AJ876:BP876" si="190">SUBTOTAL(9,AJ861:AJ875)</f>
        <v>0</v>
      </c>
      <c r="AK876" s="194">
        <f t="shared" si="190"/>
        <v>0</v>
      </c>
      <c r="AL876" s="194">
        <f t="shared" si="190"/>
        <v>0</v>
      </c>
      <c r="AM876" s="194">
        <f>SUBTOTAL(9,AM861:AM875)</f>
        <v>0</v>
      </c>
      <c r="AN876" s="194">
        <f>SUBTOTAL(9,AN861:AN875)</f>
        <v>0</v>
      </c>
      <c r="AO876" s="194">
        <f>SUBTOTAL(9,AO861:AO875)</f>
        <v>0</v>
      </c>
      <c r="AP876" s="194">
        <f t="shared" si="190"/>
        <v>0</v>
      </c>
      <c r="AQ876" s="194">
        <f t="shared" si="190"/>
        <v>0</v>
      </c>
      <c r="AR876" s="194">
        <f t="shared" si="190"/>
        <v>0</v>
      </c>
      <c r="AS876" s="194">
        <f t="shared" si="190"/>
        <v>0</v>
      </c>
      <c r="AT876" s="194">
        <f>SUBTOTAL(9,AT861:AT875)</f>
        <v>0</v>
      </c>
      <c r="AU876" s="194">
        <f t="shared" si="190"/>
        <v>2045.5160100000001</v>
      </c>
      <c r="AV876" s="194">
        <f t="shared" si="190"/>
        <v>107.65873000000001</v>
      </c>
      <c r="AW876" s="194">
        <f t="shared" si="190"/>
        <v>0</v>
      </c>
      <c r="AX876" s="194">
        <f t="shared" si="190"/>
        <v>0</v>
      </c>
      <c r="AY876" s="194">
        <f t="shared" si="190"/>
        <v>0</v>
      </c>
      <c r="AZ876" s="194">
        <f t="shared" si="190"/>
        <v>0</v>
      </c>
      <c r="BA876" s="194">
        <f t="shared" si="190"/>
        <v>0</v>
      </c>
      <c r="BB876" s="194">
        <f t="shared" si="190"/>
        <v>0</v>
      </c>
      <c r="BC876" s="194">
        <f t="shared" si="190"/>
        <v>0</v>
      </c>
      <c r="BD876" s="194">
        <f t="shared" si="190"/>
        <v>0</v>
      </c>
      <c r="BE876" s="194">
        <f t="shared" si="190"/>
        <v>0</v>
      </c>
      <c r="BF876" s="194">
        <f t="shared" si="190"/>
        <v>3262.0314800000001</v>
      </c>
      <c r="BG876" s="194">
        <f t="shared" si="190"/>
        <v>0</v>
      </c>
      <c r="BH876" s="194">
        <f t="shared" si="190"/>
        <v>4550</v>
      </c>
      <c r="BI876" s="194">
        <f t="shared" si="190"/>
        <v>21021.013899999994</v>
      </c>
      <c r="BJ876" s="194">
        <f t="shared" si="190"/>
        <v>0</v>
      </c>
      <c r="BK876" s="194">
        <f t="shared" si="190"/>
        <v>0</v>
      </c>
      <c r="BL876" s="194">
        <f t="shared" si="190"/>
        <v>0</v>
      </c>
      <c r="BM876" s="195">
        <f>SUBTOTAL(9,BM861:BM875)</f>
        <v>0</v>
      </c>
      <c r="BN876" s="194">
        <f t="shared" si="190"/>
        <v>0</v>
      </c>
      <c r="BO876" s="194">
        <f t="shared" si="190"/>
        <v>0</v>
      </c>
      <c r="BP876" s="194">
        <f t="shared" si="190"/>
        <v>0</v>
      </c>
      <c r="BQ876" s="195">
        <f>SUBTOTAL(9,BQ861:BQ875)</f>
        <v>0</v>
      </c>
      <c r="BR876" s="40"/>
      <c r="BS876" s="40"/>
      <c r="BT876" s="40"/>
      <c r="BU876" s="40"/>
      <c r="BV876" s="40"/>
      <c r="BW876" s="40"/>
      <c r="BX876" s="40"/>
      <c r="BY876" s="40"/>
      <c r="BZ876" s="40"/>
      <c r="CA876" s="40"/>
      <c r="CB876" s="40"/>
      <c r="CC876" s="40"/>
      <c r="CD876" s="40"/>
      <c r="CE876" s="40"/>
      <c r="CF876" s="40"/>
      <c r="CG876" s="40"/>
      <c r="CH876" s="40"/>
      <c r="CI876" s="40"/>
      <c r="CJ876" s="40"/>
      <c r="CK876" s="40"/>
      <c r="CL876" s="40"/>
      <c r="CM876" s="40"/>
      <c r="CN876" s="40"/>
      <c r="CO876" s="40"/>
      <c r="CP876" s="40"/>
      <c r="CQ876" s="40"/>
      <c r="CR876" s="40"/>
      <c r="CS876" s="40"/>
      <c r="CT876" s="40"/>
      <c r="CU876" s="40"/>
      <c r="CV876" s="40"/>
      <c r="CW876" s="40"/>
      <c r="CX876" s="40"/>
      <c r="CY876" s="40"/>
      <c r="CZ876" s="40"/>
      <c r="DA876" s="40"/>
      <c r="DB876" s="40"/>
      <c r="DC876" s="40"/>
      <c r="DD876" s="40"/>
      <c r="DE876" s="40"/>
      <c r="DF876" s="40"/>
      <c r="DG876" s="40"/>
      <c r="DH876" s="40"/>
      <c r="DI876" s="40"/>
      <c r="DJ876" s="40"/>
      <c r="DK876" s="40"/>
      <c r="DL876" s="40"/>
      <c r="DM876" s="40"/>
      <c r="DN876" s="40"/>
      <c r="DO876" s="40"/>
      <c r="DP876" s="40"/>
      <c r="DQ876" s="40"/>
      <c r="DR876" s="40"/>
      <c r="DS876" s="40"/>
      <c r="DT876" s="40"/>
      <c r="DU876" s="40"/>
      <c r="DV876" s="40"/>
      <c r="DW876" s="40"/>
      <c r="DX876" s="40"/>
      <c r="DY876" s="40"/>
      <c r="DZ876" s="40"/>
      <c r="EA876" s="40"/>
      <c r="EB876" s="40"/>
      <c r="EC876" s="40"/>
      <c r="ED876" s="40"/>
      <c r="EE876" s="40"/>
      <c r="EF876" s="40"/>
      <c r="EG876" s="40"/>
      <c r="EH876" s="40"/>
      <c r="EI876" s="40"/>
      <c r="EJ876" s="40"/>
      <c r="EK876" s="40"/>
      <c r="EL876" s="40"/>
      <c r="EM876" s="40"/>
      <c r="EN876" s="40"/>
      <c r="EO876" s="40"/>
      <c r="EP876" s="40"/>
      <c r="EQ876" s="40"/>
      <c r="ER876" s="40"/>
      <c r="ES876" s="40"/>
      <c r="ET876" s="40"/>
      <c r="EU876" s="40"/>
      <c r="EV876" s="40"/>
      <c r="EW876" s="40"/>
      <c r="EX876" s="40"/>
      <c r="EY876" s="40"/>
      <c r="EZ876" s="40"/>
      <c r="FA876" s="40"/>
      <c r="FB876" s="40"/>
      <c r="FC876" s="40"/>
      <c r="FD876" s="40"/>
      <c r="FE876" s="40"/>
      <c r="FF876" s="40"/>
      <c r="FG876" s="40"/>
      <c r="FH876" s="40"/>
      <c r="FI876" s="40"/>
      <c r="FJ876" s="40"/>
      <c r="FK876" s="40"/>
      <c r="FL876" s="40"/>
      <c r="FM876" s="40"/>
      <c r="FN876" s="40"/>
      <c r="FO876" s="40"/>
      <c r="FP876" s="40"/>
      <c r="FQ876" s="40"/>
      <c r="FR876" s="40"/>
      <c r="FS876" s="40"/>
      <c r="FT876" s="40"/>
      <c r="FU876" s="40"/>
      <c r="FV876" s="40"/>
      <c r="FW876" s="40"/>
      <c r="FX876" s="40"/>
      <c r="FY876" s="40"/>
      <c r="FZ876" s="40"/>
      <c r="GA876" s="40"/>
      <c r="GB876" s="40"/>
      <c r="GC876" s="40"/>
      <c r="GD876" s="40"/>
      <c r="GE876" s="40"/>
      <c r="GF876" s="40"/>
      <c r="GG876" s="40"/>
      <c r="GH876" s="40"/>
      <c r="GI876" s="40"/>
      <c r="GJ876" s="40"/>
      <c r="GK876" s="40"/>
      <c r="GL876" s="40"/>
      <c r="GM876" s="40"/>
      <c r="GN876" s="40"/>
      <c r="GO876" s="40"/>
      <c r="GP876" s="40"/>
      <c r="GQ876" s="40"/>
      <c r="GR876" s="40"/>
      <c r="GS876" s="40"/>
      <c r="GT876" s="40"/>
      <c r="GU876" s="40"/>
      <c r="GV876" s="40"/>
      <c r="GW876" s="40"/>
      <c r="GX876" s="40"/>
      <c r="GY876" s="40"/>
      <c r="GZ876" s="40"/>
      <c r="HA876" s="40"/>
      <c r="HB876" s="40"/>
      <c r="HC876" s="40"/>
      <c r="HD876" s="40"/>
      <c r="HE876" s="40"/>
      <c r="HF876" s="40"/>
      <c r="HG876" s="40"/>
      <c r="HH876" s="40"/>
      <c r="HI876" s="40"/>
      <c r="HJ876" s="40"/>
      <c r="HK876" s="40"/>
      <c r="HL876" s="40"/>
      <c r="HM876" s="40"/>
      <c r="HN876" s="40"/>
      <c r="HO876" s="40"/>
      <c r="HP876" s="40"/>
      <c r="HQ876" s="40"/>
      <c r="HR876" s="40"/>
      <c r="HS876" s="40"/>
      <c r="HT876" s="40"/>
      <c r="HU876" s="40"/>
      <c r="HV876" s="40"/>
      <c r="HW876" s="40"/>
      <c r="HX876" s="40"/>
      <c r="HY876" s="40"/>
      <c r="HZ876" s="40"/>
      <c r="IA876" s="40"/>
      <c r="IB876" s="40"/>
      <c r="IC876" s="40"/>
      <c r="ID876" s="40"/>
      <c r="IE876" s="40"/>
      <c r="IF876" s="40"/>
      <c r="IG876" s="40"/>
      <c r="IH876" s="40"/>
      <c r="II876" s="40"/>
      <c r="IJ876" s="40"/>
      <c r="IK876" s="40"/>
      <c r="IL876" s="40"/>
      <c r="IM876" s="40"/>
      <c r="IN876" s="40"/>
      <c r="IO876" s="40"/>
      <c r="IP876" s="40"/>
      <c r="IQ876" s="40"/>
      <c r="IR876" s="40"/>
      <c r="IS876" s="40"/>
      <c r="IT876" s="40"/>
      <c r="IU876" s="40"/>
      <c r="IV876" s="40"/>
      <c r="IW876" s="40"/>
      <c r="IX876" s="40"/>
      <c r="IY876" s="40"/>
      <c r="IZ876" s="40"/>
      <c r="JA876" s="40"/>
      <c r="JB876" s="40"/>
      <c r="JC876" s="40"/>
      <c r="JD876" s="40"/>
      <c r="JE876" s="40"/>
      <c r="JF876" s="40"/>
      <c r="JG876" s="40"/>
      <c r="JH876" s="40"/>
      <c r="JI876" s="40"/>
      <c r="JJ876" s="40"/>
    </row>
    <row r="877" spans="1:270" s="34" customFormat="1" ht="39.950000000000003" customHeight="1" thickBot="1" x14ac:dyDescent="0.35">
      <c r="A877" s="137" t="s">
        <v>1106</v>
      </c>
      <c r="B877" s="138"/>
      <c r="C877" s="139" t="s">
        <v>80</v>
      </c>
      <c r="D877" s="140"/>
      <c r="E877" s="204">
        <f t="shared" ref="E877:AJ877" si="191">SUBTOTAL(9,E6:E876)</f>
        <v>4834512.1680500023</v>
      </c>
      <c r="F877" s="194">
        <f t="shared" si="191"/>
        <v>1020696.2880200004</v>
      </c>
      <c r="G877" s="204">
        <f t="shared" si="191"/>
        <v>3813815.8800300034</v>
      </c>
      <c r="H877" s="194">
        <f t="shared" si="191"/>
        <v>216328.04499999998</v>
      </c>
      <c r="I877" s="204">
        <f t="shared" si="191"/>
        <v>72109.348330000037</v>
      </c>
      <c r="J877" s="204">
        <f t="shared" si="191"/>
        <v>34147.6342</v>
      </c>
      <c r="K877" s="204">
        <f t="shared" si="191"/>
        <v>43228</v>
      </c>
      <c r="L877" s="194">
        <f t="shared" si="191"/>
        <v>233619.9999599999</v>
      </c>
      <c r="M877" s="204">
        <f t="shared" si="191"/>
        <v>366156.50003999996</v>
      </c>
      <c r="N877" s="204">
        <f t="shared" si="191"/>
        <v>8660.55645</v>
      </c>
      <c r="O877" s="204">
        <f t="shared" si="191"/>
        <v>14103.86</v>
      </c>
      <c r="P877" s="204">
        <f t="shared" si="191"/>
        <v>4127.1468100000002</v>
      </c>
      <c r="Q877" s="194">
        <f t="shared" si="191"/>
        <v>187746.09993</v>
      </c>
      <c r="R877" s="204">
        <f t="shared" si="191"/>
        <v>62582.033309999999</v>
      </c>
      <c r="S877" s="204">
        <f t="shared" si="191"/>
        <v>59095.462099999997</v>
      </c>
      <c r="T877" s="194">
        <f t="shared" si="191"/>
        <v>8611.0782099999997</v>
      </c>
      <c r="U877" s="204">
        <f t="shared" si="191"/>
        <v>2870.3593900000001</v>
      </c>
      <c r="V877" s="204">
        <f t="shared" si="191"/>
        <v>24500</v>
      </c>
      <c r="W877" s="204">
        <f t="shared" si="191"/>
        <v>61751.040000000001</v>
      </c>
      <c r="X877" s="204">
        <f t="shared" si="191"/>
        <v>1000</v>
      </c>
      <c r="Y877" s="194">
        <f t="shared" si="191"/>
        <v>162119.80000000002</v>
      </c>
      <c r="Z877" s="204">
        <f t="shared" si="191"/>
        <v>54039.933329999993</v>
      </c>
      <c r="AA877" s="204">
        <f t="shared" si="191"/>
        <v>696748.46667000011</v>
      </c>
      <c r="AB877" s="204">
        <f t="shared" si="191"/>
        <v>57216.877500000002</v>
      </c>
      <c r="AC877" s="204">
        <f t="shared" si="191"/>
        <v>110937.24119999999</v>
      </c>
      <c r="AD877" s="204">
        <f t="shared" si="191"/>
        <v>32686.127779999999</v>
      </c>
      <c r="AE877" s="204">
        <f t="shared" si="191"/>
        <v>3927.23</v>
      </c>
      <c r="AF877" s="204">
        <f t="shared" si="191"/>
        <v>379747</v>
      </c>
      <c r="AG877" s="204">
        <f t="shared" si="191"/>
        <v>1599.9666700000005</v>
      </c>
      <c r="AH877" s="204">
        <f t="shared" si="191"/>
        <v>1939.63247</v>
      </c>
      <c r="AI877" s="204">
        <f t="shared" si="191"/>
        <v>193504.63153000001</v>
      </c>
      <c r="AJ877" s="204">
        <f t="shared" si="191"/>
        <v>44422.315999999999</v>
      </c>
      <c r="AK877" s="194">
        <f t="shared" ref="AK877:BP877" si="192">SUBTOTAL(9,AK6:AK876)</f>
        <v>45000</v>
      </c>
      <c r="AL877" s="204">
        <f t="shared" si="192"/>
        <v>15000</v>
      </c>
      <c r="AM877" s="194">
        <f t="shared" si="192"/>
        <v>42987.328999999998</v>
      </c>
      <c r="AN877" s="204">
        <f t="shared" si="192"/>
        <v>2262.491</v>
      </c>
      <c r="AO877" s="204">
        <f t="shared" si="192"/>
        <v>2000</v>
      </c>
      <c r="AP877" s="194">
        <f t="shared" si="192"/>
        <v>9342.75</v>
      </c>
      <c r="AQ877" s="204">
        <f t="shared" si="192"/>
        <v>3114.25</v>
      </c>
      <c r="AR877" s="194">
        <f t="shared" si="192"/>
        <v>3188.15499</v>
      </c>
      <c r="AS877" s="204">
        <f t="shared" si="192"/>
        <v>167.79764</v>
      </c>
      <c r="AT877" s="204">
        <f t="shared" si="192"/>
        <v>91318.299999999974</v>
      </c>
      <c r="AU877" s="194">
        <f t="shared" si="192"/>
        <v>2045.5160100000001</v>
      </c>
      <c r="AV877" s="204">
        <f t="shared" si="192"/>
        <v>107.65873000000001</v>
      </c>
      <c r="AW877" s="194">
        <f t="shared" si="192"/>
        <v>58999.999969999983</v>
      </c>
      <c r="AX877" s="204">
        <f t="shared" si="192"/>
        <v>28123.407830000015</v>
      </c>
      <c r="AY877" s="204">
        <f t="shared" si="192"/>
        <v>49500.025999999998</v>
      </c>
      <c r="AZ877" s="204">
        <f t="shared" si="192"/>
        <v>27000</v>
      </c>
      <c r="BA877" s="204">
        <f t="shared" si="192"/>
        <v>65037.999999999993</v>
      </c>
      <c r="BB877" s="194">
        <f t="shared" si="192"/>
        <v>45324.514949999997</v>
      </c>
      <c r="BC877" s="204">
        <f t="shared" si="192"/>
        <v>15108.17165</v>
      </c>
      <c r="BD877" s="204">
        <f t="shared" si="192"/>
        <v>13829.625</v>
      </c>
      <c r="BE877" s="204">
        <f t="shared" si="192"/>
        <v>269897.60000000009</v>
      </c>
      <c r="BF877" s="204">
        <f t="shared" si="192"/>
        <v>419891.54000000004</v>
      </c>
      <c r="BG877" s="204">
        <f t="shared" si="192"/>
        <v>39440.199999999997</v>
      </c>
      <c r="BH877" s="204">
        <f t="shared" si="192"/>
        <v>274201.52991000004</v>
      </c>
      <c r="BI877" s="204">
        <f t="shared" si="192"/>
        <v>49563.619919999997</v>
      </c>
      <c r="BJ877" s="194">
        <f t="shared" si="192"/>
        <v>5383</v>
      </c>
      <c r="BK877" s="204">
        <f t="shared" si="192"/>
        <v>7918.2107800000003</v>
      </c>
      <c r="BL877" s="204">
        <f t="shared" si="192"/>
        <v>14037.534439999999</v>
      </c>
      <c r="BM877" s="205">
        <f t="shared" si="192"/>
        <v>32471.171999999999</v>
      </c>
      <c r="BN877" s="204">
        <f t="shared" si="192"/>
        <v>189.09111999999999</v>
      </c>
      <c r="BO877" s="204">
        <f t="shared" si="192"/>
        <v>61528.343749999993</v>
      </c>
      <c r="BP877" s="204">
        <f t="shared" si="192"/>
        <v>670.64648</v>
      </c>
      <c r="BQ877" s="206">
        <f t="shared" ref="BQ877" si="193">SUBTOTAL(9,BQ6:BQ876)</f>
        <v>335.3</v>
      </c>
      <c r="BR877" s="40"/>
      <c r="BS877" s="40"/>
      <c r="BT877" s="40"/>
      <c r="BU877" s="40"/>
      <c r="BV877" s="40"/>
      <c r="BW877" s="40"/>
      <c r="BX877" s="40"/>
      <c r="BY877" s="40"/>
      <c r="BZ877" s="40"/>
      <c r="CA877" s="40"/>
      <c r="CB877" s="40"/>
      <c r="CC877" s="40"/>
      <c r="CD877" s="40"/>
      <c r="CE877" s="40"/>
      <c r="CF877" s="40"/>
      <c r="CG877" s="40"/>
      <c r="CH877" s="40"/>
      <c r="CI877" s="40"/>
      <c r="CJ877" s="40"/>
      <c r="CK877" s="40"/>
      <c r="CL877" s="40"/>
      <c r="CM877" s="40"/>
      <c r="CN877" s="40"/>
      <c r="CO877" s="40"/>
      <c r="CP877" s="40"/>
      <c r="CQ877" s="40"/>
      <c r="CR877" s="40"/>
      <c r="CS877" s="40"/>
      <c r="CT877" s="40"/>
      <c r="CU877" s="40"/>
      <c r="CV877" s="40"/>
      <c r="CW877" s="40"/>
      <c r="CX877" s="40"/>
      <c r="CY877" s="40"/>
      <c r="CZ877" s="40"/>
      <c r="DA877" s="40"/>
      <c r="DB877" s="40"/>
      <c r="DC877" s="40"/>
      <c r="DD877" s="40"/>
      <c r="DE877" s="40"/>
      <c r="DF877" s="40"/>
      <c r="DG877" s="40"/>
      <c r="DH877" s="40"/>
      <c r="DI877" s="40"/>
      <c r="DJ877" s="40"/>
      <c r="DK877" s="40"/>
      <c r="DL877" s="40"/>
      <c r="DM877" s="40"/>
      <c r="DN877" s="40"/>
      <c r="DO877" s="40"/>
      <c r="DP877" s="40"/>
      <c r="DQ877" s="40"/>
      <c r="DR877" s="40"/>
      <c r="DS877" s="40"/>
      <c r="DT877" s="40"/>
      <c r="DU877" s="40"/>
      <c r="DV877" s="40"/>
      <c r="DW877" s="40"/>
      <c r="DX877" s="40"/>
      <c r="DY877" s="40"/>
      <c r="DZ877" s="40"/>
      <c r="EA877" s="40"/>
      <c r="EB877" s="40"/>
      <c r="EC877" s="40"/>
      <c r="ED877" s="40"/>
      <c r="EE877" s="40"/>
      <c r="EF877" s="40"/>
      <c r="EG877" s="40"/>
      <c r="EH877" s="40"/>
      <c r="EI877" s="40"/>
      <c r="EJ877" s="40"/>
      <c r="EK877" s="40"/>
      <c r="EL877" s="40"/>
      <c r="EM877" s="40"/>
      <c r="EN877" s="40"/>
      <c r="EO877" s="40"/>
      <c r="EP877" s="40"/>
      <c r="EQ877" s="40"/>
      <c r="ER877" s="40"/>
      <c r="ES877" s="40"/>
      <c r="ET877" s="40"/>
      <c r="EU877" s="40"/>
      <c r="EV877" s="40"/>
      <c r="EW877" s="40"/>
      <c r="EX877" s="40"/>
      <c r="EY877" s="40"/>
      <c r="EZ877" s="40"/>
      <c r="FA877" s="40"/>
      <c r="FB877" s="40"/>
      <c r="FC877" s="40"/>
      <c r="FD877" s="40"/>
      <c r="FE877" s="40"/>
      <c r="FF877" s="40"/>
      <c r="FG877" s="40"/>
      <c r="FH877" s="40"/>
      <c r="FI877" s="40"/>
      <c r="FJ877" s="40"/>
      <c r="FK877" s="40"/>
      <c r="FL877" s="40"/>
      <c r="FM877" s="40"/>
      <c r="FN877" s="40"/>
      <c r="FO877" s="40"/>
      <c r="FP877" s="40"/>
      <c r="FQ877" s="40"/>
      <c r="FR877" s="40"/>
      <c r="FS877" s="40"/>
      <c r="FT877" s="40"/>
      <c r="FU877" s="40"/>
      <c r="FV877" s="40"/>
      <c r="FW877" s="40"/>
      <c r="FX877" s="40"/>
      <c r="FY877" s="40"/>
      <c r="FZ877" s="40"/>
      <c r="GA877" s="40"/>
      <c r="GB877" s="40"/>
      <c r="GC877" s="40"/>
      <c r="GD877" s="40"/>
      <c r="GE877" s="40"/>
      <c r="GF877" s="40"/>
      <c r="GG877" s="40"/>
      <c r="GH877" s="40"/>
      <c r="GI877" s="40"/>
      <c r="GJ877" s="40"/>
      <c r="GK877" s="40"/>
      <c r="GL877" s="40"/>
      <c r="GM877" s="40"/>
      <c r="GN877" s="40"/>
      <c r="GO877" s="40"/>
      <c r="GP877" s="40"/>
      <c r="GQ877" s="40"/>
      <c r="GR877" s="40"/>
      <c r="GS877" s="40"/>
      <c r="GT877" s="40"/>
      <c r="GU877" s="40"/>
      <c r="GV877" s="40"/>
      <c r="GW877" s="40"/>
      <c r="GX877" s="40"/>
      <c r="GY877" s="40"/>
      <c r="GZ877" s="40"/>
      <c r="HA877" s="40"/>
      <c r="HB877" s="40"/>
      <c r="HC877" s="40"/>
      <c r="HD877" s="40"/>
      <c r="HE877" s="40"/>
      <c r="HF877" s="40"/>
      <c r="HG877" s="40"/>
      <c r="HH877" s="40"/>
      <c r="HI877" s="40"/>
      <c r="HJ877" s="40"/>
      <c r="HK877" s="40"/>
      <c r="HL877" s="40"/>
      <c r="HM877" s="40"/>
      <c r="HN877" s="40"/>
      <c r="HO877" s="40"/>
      <c r="HP877" s="40"/>
      <c r="HQ877" s="40"/>
      <c r="HR877" s="40"/>
      <c r="HS877" s="40"/>
      <c r="HT877" s="40"/>
      <c r="HU877" s="40"/>
      <c r="HV877" s="40"/>
      <c r="HW877" s="40"/>
      <c r="HX877" s="40"/>
      <c r="HY877" s="40"/>
      <c r="HZ877" s="40"/>
      <c r="IA877" s="40"/>
      <c r="IB877" s="40"/>
      <c r="IC877" s="40"/>
      <c r="ID877" s="40"/>
      <c r="IE877" s="40"/>
      <c r="IF877" s="40"/>
      <c r="IG877" s="40"/>
      <c r="IH877" s="40"/>
      <c r="II877" s="40"/>
      <c r="IJ877" s="40"/>
      <c r="IK877" s="40"/>
      <c r="IL877" s="40"/>
      <c r="IM877" s="40"/>
      <c r="IN877" s="40"/>
      <c r="IO877" s="40"/>
      <c r="IP877" s="40"/>
      <c r="IQ877" s="40"/>
      <c r="IR877" s="40"/>
      <c r="IS877" s="40"/>
      <c r="IT877" s="40"/>
      <c r="IU877" s="40"/>
      <c r="IV877" s="40"/>
      <c r="IW877" s="40"/>
      <c r="IX877" s="40"/>
      <c r="IY877" s="40"/>
      <c r="IZ877" s="40"/>
      <c r="JA877" s="40"/>
      <c r="JB877" s="40"/>
      <c r="JC877" s="40"/>
      <c r="JD877" s="40"/>
      <c r="JE877" s="40"/>
      <c r="JF877" s="40"/>
      <c r="JG877" s="40"/>
      <c r="JH877" s="40"/>
      <c r="JI877" s="40"/>
      <c r="JJ877" s="40"/>
    </row>
    <row r="878" spans="1:270" x14ac:dyDescent="0.3">
      <c r="E878" s="58"/>
      <c r="F878" s="49"/>
      <c r="G878" s="49"/>
      <c r="H878" s="20"/>
      <c r="I878" s="20"/>
      <c r="J878" s="20"/>
      <c r="K878" s="20"/>
      <c r="L878" s="92"/>
      <c r="O878" s="20"/>
      <c r="Q878" s="20"/>
      <c r="R878" s="20"/>
      <c r="S878" s="20"/>
      <c r="V878" s="20"/>
      <c r="W878" s="20"/>
      <c r="X878" s="20"/>
      <c r="Y878" s="20"/>
      <c r="AA878" s="20"/>
      <c r="AB878" s="20"/>
      <c r="AC878" s="20"/>
      <c r="AD878" s="20"/>
      <c r="AE878" s="83"/>
      <c r="AG878" s="20"/>
      <c r="AH878" s="20"/>
      <c r="AI878" s="20"/>
      <c r="AJ878" s="20"/>
      <c r="AK878" s="20"/>
      <c r="AL878" s="20"/>
      <c r="AM878" s="20"/>
      <c r="AN878" s="20"/>
      <c r="AO878" s="20"/>
      <c r="AP878" s="20"/>
      <c r="AQ878" s="20"/>
      <c r="AR878" s="20"/>
      <c r="AS878" s="20"/>
      <c r="AT878" s="20"/>
      <c r="AU878" s="20"/>
      <c r="AV878" s="20"/>
      <c r="AW878" s="20"/>
      <c r="AX878" s="20"/>
      <c r="AY878" s="20"/>
      <c r="AZ878" s="20"/>
      <c r="BE878" s="20"/>
      <c r="BF878" s="20"/>
      <c r="BG878" s="20"/>
      <c r="BH878" s="20"/>
      <c r="BI878" s="20"/>
      <c r="BJ878" s="20"/>
      <c r="BK878" s="20"/>
      <c r="BL878" s="20"/>
      <c r="BN878" s="20"/>
      <c r="BO878" s="20"/>
      <c r="BP878" s="20"/>
      <c r="BQ878" s="20"/>
    </row>
    <row r="879" spans="1:270" x14ac:dyDescent="0.3">
      <c r="A879" s="44"/>
      <c r="J879" s="60"/>
      <c r="K879" s="60"/>
      <c r="O879" s="84"/>
      <c r="X879" s="63"/>
      <c r="AD879" s="84"/>
      <c r="AG879" s="63"/>
      <c r="AH879" s="63"/>
      <c r="AI879" s="60"/>
      <c r="AO879" s="60"/>
      <c r="BH879" s="59"/>
      <c r="BI879" s="59"/>
    </row>
    <row r="880" spans="1:270" ht="20.25" customHeight="1" x14ac:dyDescent="0.3">
      <c r="A880" s="51"/>
      <c r="G880" s="20"/>
      <c r="J880" s="60"/>
      <c r="K880" s="60"/>
      <c r="V880" s="45"/>
      <c r="W880" s="45"/>
      <c r="X880" s="63"/>
      <c r="Y880" s="93"/>
      <c r="AB880" s="45"/>
      <c r="AC880" s="45"/>
      <c r="AE880" s="45"/>
      <c r="AG880" s="85"/>
      <c r="AH880" s="63"/>
      <c r="AI880" s="60"/>
      <c r="AO880" s="60"/>
      <c r="BB880" s="94"/>
      <c r="BC880" s="94"/>
      <c r="BD880" s="94"/>
      <c r="BH880" s="59"/>
      <c r="BI880" s="59"/>
    </row>
    <row r="881" spans="1:61" x14ac:dyDescent="0.3">
      <c r="A881" s="51"/>
      <c r="G881" s="20"/>
      <c r="V881" s="45"/>
      <c r="X881" s="63"/>
      <c r="AG881" s="85"/>
      <c r="AH881" s="63"/>
      <c r="BE881" s="84"/>
      <c r="BF881" s="84"/>
      <c r="BG881" s="84"/>
      <c r="BH881" s="95"/>
      <c r="BI881" s="95"/>
    </row>
    <row r="882" spans="1:61" x14ac:dyDescent="0.3">
      <c r="A882" s="51"/>
      <c r="G882" s="20"/>
      <c r="X882" s="63"/>
      <c r="AG882" s="85"/>
      <c r="AH882" s="63"/>
      <c r="BE882" s="84"/>
      <c r="BF882" s="84"/>
      <c r="BG882" s="84"/>
      <c r="BH882" s="59"/>
      <c r="BI882" s="59"/>
    </row>
    <row r="883" spans="1:61" x14ac:dyDescent="0.3">
      <c r="A883" s="51"/>
      <c r="G883" s="20"/>
      <c r="X883" s="64"/>
      <c r="AG883" s="83"/>
      <c r="AH883" s="64"/>
      <c r="BE883" s="84"/>
      <c r="BF883" s="84"/>
      <c r="BG883" s="84"/>
      <c r="BH883" s="59"/>
      <c r="BI883" s="59"/>
    </row>
    <row r="884" spans="1:61" x14ac:dyDescent="0.3">
      <c r="A884" s="51"/>
      <c r="G884" s="20"/>
      <c r="X884" s="64"/>
      <c r="AG884" s="64"/>
      <c r="AH884" s="64"/>
      <c r="BH884" s="59"/>
      <c r="BI884" s="59"/>
    </row>
    <row r="885" spans="1:61" x14ac:dyDescent="0.3">
      <c r="A885" s="51"/>
      <c r="E885" s="61"/>
      <c r="G885" s="20"/>
      <c r="X885" s="64"/>
      <c r="AG885" s="64"/>
      <c r="AH885" s="64"/>
      <c r="BH885" s="59"/>
      <c r="BI885" s="59"/>
    </row>
    <row r="886" spans="1:61" x14ac:dyDescent="0.3">
      <c r="A886" s="51"/>
      <c r="G886" s="20"/>
      <c r="X886" s="64"/>
      <c r="AG886" s="64"/>
      <c r="AH886" s="64"/>
      <c r="BH886" s="59"/>
      <c r="BI886" s="59"/>
    </row>
    <row r="887" spans="1:61" x14ac:dyDescent="0.3">
      <c r="A887" s="51"/>
      <c r="G887" s="20"/>
      <c r="X887" s="65"/>
      <c r="AG887" s="86"/>
      <c r="AH887" s="65"/>
      <c r="BH887" s="59"/>
      <c r="BI887" s="59"/>
    </row>
    <row r="888" spans="1:61" x14ac:dyDescent="0.3">
      <c r="A888" s="51"/>
      <c r="G888" s="20"/>
      <c r="X888" s="65"/>
      <c r="AG888" s="86"/>
      <c r="AH888" s="65"/>
      <c r="BH888" s="59"/>
      <c r="BI888" s="59"/>
    </row>
    <row r="889" spans="1:61" x14ac:dyDescent="0.3">
      <c r="A889" s="51"/>
      <c r="G889" s="20"/>
      <c r="X889" s="65"/>
      <c r="AG889" s="86"/>
      <c r="AH889" s="65"/>
      <c r="BH889" s="59"/>
      <c r="BI889" s="59"/>
    </row>
    <row r="890" spans="1:61" x14ac:dyDescent="0.3">
      <c r="A890" s="51"/>
      <c r="G890" s="20"/>
      <c r="X890" s="65"/>
      <c r="AG890" s="86"/>
      <c r="AH890" s="65"/>
      <c r="BH890" s="59"/>
      <c r="BI890" s="59"/>
    </row>
    <row r="891" spans="1:61" x14ac:dyDescent="0.3">
      <c r="G891" s="20"/>
      <c r="L891" s="78"/>
      <c r="AG891" s="20"/>
      <c r="BH891" s="59"/>
      <c r="BI891" s="59"/>
    </row>
    <row r="892" spans="1:61" x14ac:dyDescent="0.3">
      <c r="G892" s="20"/>
      <c r="BH892" s="59"/>
      <c r="BI892" s="59"/>
    </row>
    <row r="893" spans="1:61" x14ac:dyDescent="0.3">
      <c r="B893" s="1"/>
      <c r="C893" s="4"/>
      <c r="E893" s="34"/>
      <c r="F893" s="4"/>
      <c r="G893" s="20"/>
      <c r="AW893" s="4"/>
      <c r="AX893" s="4"/>
      <c r="AY893" s="4"/>
      <c r="AZ893" s="4"/>
      <c r="BH893" s="59"/>
      <c r="BI893" s="59"/>
    </row>
    <row r="894" spans="1:61" x14ac:dyDescent="0.3">
      <c r="B894" s="1"/>
      <c r="C894" s="4"/>
      <c r="E894" s="34"/>
      <c r="F894" s="4"/>
      <c r="G894" s="20"/>
      <c r="AG894" s="59"/>
      <c r="AW894" s="4"/>
      <c r="AX894" s="4"/>
      <c r="AY894" s="4"/>
      <c r="AZ894" s="4"/>
      <c r="BH894" s="59"/>
      <c r="BI894" s="59"/>
    </row>
    <row r="895" spans="1:61" x14ac:dyDescent="0.3">
      <c r="B895" s="1"/>
      <c r="C895" s="4"/>
      <c r="E895" s="34"/>
      <c r="F895" s="4"/>
      <c r="G895" s="20"/>
      <c r="AW895" s="4"/>
      <c r="AX895" s="4"/>
      <c r="AY895" s="4"/>
      <c r="AZ895" s="4"/>
      <c r="BH895" s="59"/>
      <c r="BI895" s="59"/>
    </row>
    <row r="896" spans="1:61" x14ac:dyDescent="0.3">
      <c r="A896" s="4"/>
      <c r="B896" s="1"/>
      <c r="C896" s="4"/>
      <c r="E896" s="34"/>
      <c r="F896" s="4"/>
      <c r="G896" s="20"/>
      <c r="AW896" s="4"/>
      <c r="AX896" s="4"/>
      <c r="AY896" s="4"/>
      <c r="AZ896" s="4"/>
      <c r="BH896" s="59"/>
      <c r="BI896" s="59"/>
    </row>
    <row r="897" spans="1:61" x14ac:dyDescent="0.3">
      <c r="A897" s="4"/>
      <c r="B897" s="1"/>
      <c r="C897" s="4"/>
      <c r="E897" s="34"/>
      <c r="F897" s="4"/>
      <c r="G897" s="20"/>
      <c r="AW897" s="4"/>
      <c r="AX897" s="4"/>
      <c r="AY897" s="4"/>
      <c r="AZ897" s="4"/>
      <c r="BH897" s="59"/>
      <c r="BI897" s="59"/>
    </row>
    <row r="898" spans="1:61" x14ac:dyDescent="0.3">
      <c r="A898" s="4"/>
      <c r="B898" s="43"/>
      <c r="C898" s="4"/>
      <c r="E898" s="34"/>
      <c r="F898" s="4"/>
      <c r="G898" s="20"/>
      <c r="AW898" s="4"/>
      <c r="AX898" s="4"/>
      <c r="AY898" s="4"/>
      <c r="AZ898" s="4"/>
      <c r="BH898" s="59"/>
      <c r="BI898" s="59"/>
    </row>
    <row r="899" spans="1:61" x14ac:dyDescent="0.3">
      <c r="A899" s="4"/>
      <c r="B899" s="1"/>
      <c r="C899" s="4"/>
      <c r="E899" s="34"/>
      <c r="F899" s="4"/>
      <c r="G899" s="20"/>
      <c r="AW899" s="4"/>
      <c r="AX899" s="4"/>
      <c r="AY899" s="4"/>
      <c r="AZ899" s="4"/>
      <c r="BH899" s="59"/>
      <c r="BI899" s="59"/>
    </row>
    <row r="900" spans="1:61" x14ac:dyDescent="0.3">
      <c r="A900" s="4"/>
      <c r="B900" s="1"/>
      <c r="C900" s="4"/>
      <c r="E900" s="34"/>
      <c r="F900" s="4"/>
      <c r="G900" s="20"/>
      <c r="AW900" s="4"/>
      <c r="AX900" s="4"/>
      <c r="AY900" s="4"/>
      <c r="AZ900" s="4"/>
      <c r="BH900" s="59"/>
      <c r="BI900" s="59"/>
    </row>
    <row r="901" spans="1:61" x14ac:dyDescent="0.3">
      <c r="A901" s="4"/>
      <c r="B901" s="1"/>
      <c r="C901" s="4"/>
      <c r="E901" s="34"/>
      <c r="F901" s="4"/>
      <c r="G901" s="20"/>
      <c r="AW901" s="4"/>
      <c r="AX901" s="4"/>
      <c r="AY901" s="4"/>
      <c r="AZ901" s="4"/>
      <c r="BH901" s="59"/>
      <c r="BI901" s="59"/>
    </row>
    <row r="902" spans="1:61" x14ac:dyDescent="0.3">
      <c r="A902" s="4"/>
      <c r="B902" s="1"/>
      <c r="C902" s="4"/>
      <c r="E902" s="34"/>
      <c r="F902" s="4"/>
      <c r="G902" s="20"/>
      <c r="AW902" s="4"/>
      <c r="AX902" s="4"/>
      <c r="AY902" s="4"/>
      <c r="AZ902" s="4"/>
      <c r="BH902" s="59"/>
      <c r="BI902" s="59"/>
    </row>
    <row r="903" spans="1:61" x14ac:dyDescent="0.3">
      <c r="A903" s="4"/>
      <c r="B903" s="1"/>
      <c r="C903" s="4"/>
      <c r="E903" s="34"/>
      <c r="F903" s="4"/>
      <c r="G903" s="20"/>
      <c r="AW903" s="4"/>
      <c r="AX903" s="4"/>
      <c r="AY903" s="4"/>
      <c r="AZ903" s="4"/>
      <c r="BH903" s="59"/>
      <c r="BI903" s="59"/>
    </row>
    <row r="904" spans="1:61" x14ac:dyDescent="0.3">
      <c r="A904" s="4"/>
      <c r="B904" s="1"/>
      <c r="C904" s="4"/>
      <c r="E904" s="34"/>
      <c r="F904" s="4"/>
      <c r="G904" s="20"/>
      <c r="AW904" s="4"/>
      <c r="AX904" s="4"/>
      <c r="AY904" s="4"/>
      <c r="AZ904" s="4"/>
      <c r="BH904" s="59"/>
      <c r="BI904" s="59"/>
    </row>
    <row r="905" spans="1:61" x14ac:dyDescent="0.3">
      <c r="A905" s="4"/>
      <c r="B905" s="1"/>
      <c r="C905" s="4"/>
      <c r="E905" s="34"/>
      <c r="F905" s="4"/>
      <c r="G905" s="20"/>
      <c r="AW905" s="4"/>
      <c r="AX905" s="4"/>
      <c r="AY905" s="4"/>
      <c r="AZ905" s="4"/>
      <c r="BH905" s="59"/>
      <c r="BI905" s="59"/>
    </row>
    <row r="906" spans="1:61" x14ac:dyDescent="0.3">
      <c r="A906" s="4"/>
      <c r="B906" s="1"/>
      <c r="C906" s="4"/>
      <c r="E906" s="34"/>
      <c r="F906" s="4"/>
      <c r="G906" s="20"/>
      <c r="AW906" s="4"/>
      <c r="AX906" s="4"/>
      <c r="AY906" s="4"/>
      <c r="AZ906" s="96"/>
      <c r="BH906" s="59"/>
      <c r="BI906" s="59"/>
    </row>
    <row r="907" spans="1:61" x14ac:dyDescent="0.3">
      <c r="A907" s="4"/>
      <c r="B907" s="1"/>
      <c r="C907" s="4"/>
      <c r="E907" s="34"/>
      <c r="F907" s="4"/>
      <c r="G907" s="20"/>
      <c r="AW907" s="4"/>
      <c r="AX907" s="4"/>
      <c r="AY907" s="4"/>
      <c r="AZ907" s="4"/>
      <c r="BH907" s="59"/>
      <c r="BI907" s="59"/>
    </row>
    <row r="908" spans="1:61" x14ac:dyDescent="0.3">
      <c r="A908" s="4"/>
      <c r="B908" s="1"/>
      <c r="C908" s="4"/>
      <c r="E908" s="34"/>
      <c r="F908" s="4"/>
      <c r="G908" s="20"/>
      <c r="AW908" s="4"/>
      <c r="AX908" s="4"/>
      <c r="AY908" s="4"/>
      <c r="AZ908" s="4"/>
      <c r="BH908" s="59"/>
      <c r="BI908" s="59"/>
    </row>
    <row r="909" spans="1:61" x14ac:dyDescent="0.3">
      <c r="A909" s="4"/>
      <c r="B909" s="1"/>
      <c r="C909" s="4"/>
      <c r="E909" s="34"/>
      <c r="F909" s="4"/>
      <c r="G909" s="20"/>
      <c r="AW909" s="4"/>
      <c r="AX909" s="4"/>
      <c r="AY909" s="4"/>
      <c r="AZ909" s="4"/>
      <c r="BH909" s="59"/>
      <c r="BI909" s="59"/>
    </row>
    <row r="910" spans="1:61" x14ac:dyDescent="0.3">
      <c r="A910" s="4"/>
      <c r="B910" s="1"/>
      <c r="C910" s="4"/>
      <c r="E910" s="34"/>
      <c r="F910" s="4"/>
      <c r="G910" s="20"/>
      <c r="H910" s="4"/>
      <c r="I910" s="4"/>
      <c r="J910" s="4"/>
      <c r="K910" s="4"/>
      <c r="O910" s="4"/>
      <c r="P910" s="4"/>
      <c r="Q910" s="4"/>
      <c r="R910" s="4"/>
      <c r="S910" s="4"/>
      <c r="T910" s="4"/>
      <c r="U910" s="4"/>
      <c r="V910" s="4"/>
      <c r="W910" s="4"/>
      <c r="X910" s="4"/>
      <c r="Y910" s="4"/>
      <c r="Z910" s="4"/>
      <c r="AA910" s="4"/>
      <c r="AB910" s="4"/>
      <c r="AC910" s="4"/>
      <c r="AD910" s="4"/>
      <c r="AE910" s="4"/>
      <c r="AF910" s="4"/>
      <c r="AG910" s="4"/>
      <c r="AH910" s="4"/>
      <c r="AI910" s="4"/>
      <c r="AO910" s="4"/>
      <c r="AW910" s="4"/>
      <c r="AX910" s="4"/>
      <c r="AY910" s="4"/>
      <c r="AZ910" s="4"/>
      <c r="BB910" s="4"/>
      <c r="BC910" s="4"/>
      <c r="BD910" s="4"/>
      <c r="BE910" s="4"/>
      <c r="BF910" s="4"/>
      <c r="BG910" s="4"/>
      <c r="BH910" s="59"/>
      <c r="BI910" s="59"/>
    </row>
    <row r="911" spans="1:61" x14ac:dyDescent="0.3">
      <c r="A911" s="4"/>
      <c r="B911" s="1"/>
      <c r="C911" s="4"/>
      <c r="E911" s="34"/>
      <c r="F911" s="4"/>
      <c r="G911" s="20"/>
      <c r="H911" s="4"/>
      <c r="I911" s="4"/>
      <c r="J911" s="4"/>
      <c r="K911" s="4"/>
      <c r="O911" s="4"/>
      <c r="P911" s="4"/>
      <c r="Q911" s="4"/>
      <c r="R911" s="4"/>
      <c r="S911" s="4"/>
      <c r="T911" s="4"/>
      <c r="U911" s="4"/>
      <c r="V911" s="4"/>
      <c r="W911" s="4"/>
      <c r="X911" s="4"/>
      <c r="Y911" s="4"/>
      <c r="Z911" s="4"/>
      <c r="AA911" s="4"/>
      <c r="AB911" s="4"/>
      <c r="AC911" s="4"/>
      <c r="AD911" s="4"/>
      <c r="AE911" s="4"/>
      <c r="AF911" s="4"/>
      <c r="AG911" s="4"/>
      <c r="AH911" s="4"/>
      <c r="AI911" s="4"/>
      <c r="AO911" s="4"/>
      <c r="AW911" s="4"/>
      <c r="AX911" s="4"/>
      <c r="AY911" s="4"/>
      <c r="AZ911" s="4"/>
      <c r="BB911" s="4"/>
      <c r="BC911" s="4"/>
      <c r="BD911" s="4"/>
      <c r="BE911" s="4"/>
      <c r="BF911" s="4"/>
      <c r="BG911" s="4"/>
      <c r="BH911" s="59"/>
      <c r="BI911" s="59"/>
    </row>
    <row r="912" spans="1:61" x14ac:dyDescent="0.3">
      <c r="A912" s="4"/>
      <c r="B912" s="1"/>
      <c r="C912" s="4"/>
      <c r="E912" s="34"/>
      <c r="F912" s="4"/>
      <c r="G912" s="20"/>
      <c r="H912" s="4"/>
      <c r="I912" s="4"/>
      <c r="J912" s="4"/>
      <c r="K912" s="4"/>
      <c r="O912" s="4"/>
      <c r="P912" s="4"/>
      <c r="Q912" s="4"/>
      <c r="R912" s="4"/>
      <c r="S912" s="4"/>
      <c r="T912" s="4"/>
      <c r="U912" s="4"/>
      <c r="V912" s="4"/>
      <c r="W912" s="4"/>
      <c r="X912" s="4"/>
      <c r="Y912" s="4"/>
      <c r="Z912" s="4"/>
      <c r="AA912" s="4"/>
      <c r="AB912" s="4"/>
      <c r="AC912" s="4"/>
      <c r="AD912" s="4"/>
      <c r="AE912" s="4"/>
      <c r="AF912" s="4"/>
      <c r="AG912" s="4"/>
      <c r="AH912" s="4"/>
      <c r="AI912" s="4"/>
      <c r="AO912" s="4"/>
      <c r="AW912" s="4"/>
      <c r="AX912" s="4"/>
      <c r="AY912" s="4"/>
      <c r="AZ912" s="4"/>
      <c r="BB912" s="4"/>
      <c r="BC912" s="4"/>
      <c r="BD912" s="4"/>
      <c r="BE912" s="4"/>
      <c r="BF912" s="4"/>
      <c r="BG912" s="4"/>
      <c r="BH912" s="59"/>
      <c r="BI912" s="59"/>
    </row>
    <row r="913" spans="1:66" x14ac:dyDescent="0.3">
      <c r="A913" s="4"/>
      <c r="B913" s="1"/>
      <c r="C913" s="4"/>
      <c r="E913" s="34"/>
      <c r="F913" s="4"/>
      <c r="G913" s="20"/>
      <c r="H913" s="4"/>
      <c r="I913" s="4"/>
      <c r="J913" s="4"/>
      <c r="K913" s="4"/>
      <c r="O913" s="4"/>
      <c r="P913" s="4"/>
      <c r="Q913" s="4"/>
      <c r="R913" s="4"/>
      <c r="S913" s="4"/>
      <c r="T913" s="4"/>
      <c r="U913" s="4"/>
      <c r="V913" s="4"/>
      <c r="W913" s="4"/>
      <c r="X913" s="4"/>
      <c r="Y913" s="4"/>
      <c r="Z913" s="4"/>
      <c r="AA913" s="4"/>
      <c r="AB913" s="4"/>
      <c r="AC913" s="4"/>
      <c r="AD913" s="4"/>
      <c r="AE913" s="4"/>
      <c r="AF913" s="4"/>
      <c r="AG913" s="4"/>
      <c r="AH913" s="4"/>
      <c r="AI913" s="4"/>
      <c r="AO913" s="4"/>
      <c r="AW913" s="4"/>
      <c r="AX913" s="4"/>
      <c r="AY913" s="4"/>
      <c r="AZ913" s="4"/>
      <c r="BB913" s="4"/>
      <c r="BC913" s="4"/>
      <c r="BD913" s="4"/>
      <c r="BE913" s="4"/>
      <c r="BF913" s="4"/>
      <c r="BG913" s="4"/>
      <c r="BH913" s="59"/>
      <c r="BI913" s="59"/>
    </row>
    <row r="914" spans="1:66" x14ac:dyDescent="0.3">
      <c r="A914" s="4"/>
      <c r="B914" s="1"/>
      <c r="C914" s="4"/>
      <c r="E914" s="34"/>
      <c r="F914" s="4"/>
      <c r="G914" s="20"/>
      <c r="H914" s="4"/>
      <c r="I914" s="4"/>
      <c r="J914" s="4"/>
      <c r="K914" s="4"/>
      <c r="O914" s="4"/>
      <c r="P914" s="4"/>
      <c r="Q914" s="4"/>
      <c r="R914" s="4"/>
      <c r="S914" s="4"/>
      <c r="T914" s="4"/>
      <c r="U914" s="4"/>
      <c r="V914" s="4"/>
      <c r="W914" s="4"/>
      <c r="X914" s="4"/>
      <c r="Y914" s="4"/>
      <c r="Z914" s="4"/>
      <c r="AA914" s="4"/>
      <c r="AB914" s="4"/>
      <c r="AC914" s="4"/>
      <c r="AD914" s="4"/>
      <c r="AE914" s="4"/>
      <c r="AF914" s="4"/>
      <c r="AG914" s="4"/>
      <c r="AH914" s="4"/>
      <c r="AI914" s="4"/>
      <c r="AO914" s="4"/>
      <c r="AW914" s="4"/>
      <c r="AX914" s="4"/>
      <c r="AY914" s="4"/>
      <c r="AZ914" s="4"/>
      <c r="BB914" s="4"/>
      <c r="BC914" s="4"/>
      <c r="BD914" s="4"/>
      <c r="BE914" s="4"/>
      <c r="BF914" s="4"/>
      <c r="BG914" s="4"/>
      <c r="BH914" s="59"/>
      <c r="BI914" s="59"/>
    </row>
    <row r="915" spans="1:66" x14ac:dyDescent="0.3">
      <c r="A915" s="4"/>
      <c r="B915" s="1"/>
      <c r="C915" s="4"/>
      <c r="E915" s="34"/>
      <c r="F915" s="4"/>
      <c r="G915" s="20"/>
      <c r="H915" s="4"/>
      <c r="I915" s="4"/>
      <c r="J915" s="4"/>
      <c r="K915" s="4"/>
      <c r="O915" s="4"/>
      <c r="P915" s="4"/>
      <c r="Q915" s="4"/>
      <c r="R915" s="4"/>
      <c r="S915" s="4"/>
      <c r="T915" s="4"/>
      <c r="U915" s="4"/>
      <c r="V915" s="4"/>
      <c r="W915" s="4"/>
      <c r="X915" s="4"/>
      <c r="Y915" s="4"/>
      <c r="Z915" s="4"/>
      <c r="AA915" s="4"/>
      <c r="AB915" s="4"/>
      <c r="AC915" s="4"/>
      <c r="AD915" s="4"/>
      <c r="AE915" s="4"/>
      <c r="AF915" s="4"/>
      <c r="AG915" s="4"/>
      <c r="AH915" s="4"/>
      <c r="AI915" s="4"/>
      <c r="AO915" s="4"/>
      <c r="AW915" s="4"/>
      <c r="AX915" s="4"/>
      <c r="AY915" s="4"/>
      <c r="AZ915" s="4"/>
      <c r="BB915" s="4"/>
      <c r="BC915" s="4"/>
      <c r="BD915" s="4"/>
      <c r="BE915" s="4"/>
      <c r="BF915" s="4"/>
      <c r="BG915" s="4"/>
      <c r="BH915" s="59"/>
      <c r="BI915" s="59"/>
    </row>
    <row r="916" spans="1:66" x14ac:dyDescent="0.3">
      <c r="A916" s="4"/>
      <c r="B916" s="1"/>
      <c r="C916" s="4"/>
      <c r="E916" s="34"/>
      <c r="F916" s="4"/>
      <c r="G916" s="20"/>
      <c r="H916" s="4"/>
      <c r="I916" s="4"/>
      <c r="J916" s="4"/>
      <c r="K916" s="4"/>
      <c r="O916" s="4"/>
      <c r="P916" s="4"/>
      <c r="Q916" s="4"/>
      <c r="R916" s="4"/>
      <c r="S916" s="4"/>
      <c r="T916" s="4"/>
      <c r="U916" s="4"/>
      <c r="V916" s="4"/>
      <c r="W916" s="4"/>
      <c r="X916" s="4"/>
      <c r="Y916" s="4"/>
      <c r="Z916" s="4"/>
      <c r="AA916" s="4"/>
      <c r="AB916" s="4"/>
      <c r="AC916" s="4"/>
      <c r="AD916" s="4"/>
      <c r="AE916" s="4"/>
      <c r="AF916" s="4"/>
      <c r="AG916" s="4"/>
      <c r="AH916" s="4"/>
      <c r="AI916" s="4"/>
      <c r="AO916" s="4"/>
      <c r="AW916" s="4"/>
      <c r="AX916" s="4"/>
      <c r="AY916" s="4"/>
      <c r="AZ916" s="4"/>
      <c r="BB916" s="4"/>
      <c r="BC916" s="4"/>
      <c r="BD916" s="4"/>
      <c r="BE916" s="4"/>
      <c r="BF916" s="4"/>
      <c r="BG916" s="4"/>
      <c r="BH916" s="59"/>
      <c r="BI916" s="59"/>
      <c r="BN916" s="34"/>
    </row>
    <row r="917" spans="1:66" x14ac:dyDescent="0.3">
      <c r="A917" s="4"/>
      <c r="B917" s="1"/>
      <c r="C917" s="4"/>
      <c r="E917" s="34"/>
      <c r="F917" s="4"/>
      <c r="G917" s="20"/>
      <c r="H917" s="4"/>
      <c r="I917" s="4"/>
      <c r="J917" s="4"/>
      <c r="K917" s="4"/>
      <c r="O917" s="4"/>
      <c r="P917" s="4"/>
      <c r="Q917" s="4"/>
      <c r="R917" s="4"/>
      <c r="S917" s="4"/>
      <c r="T917" s="4"/>
      <c r="U917" s="4"/>
      <c r="V917" s="4"/>
      <c r="W917" s="4"/>
      <c r="X917" s="4"/>
      <c r="Y917" s="4"/>
      <c r="Z917" s="4"/>
      <c r="AA917" s="4"/>
      <c r="AB917" s="4"/>
      <c r="AC917" s="4"/>
      <c r="AD917" s="4"/>
      <c r="AE917" s="4"/>
      <c r="AF917" s="4"/>
      <c r="AG917" s="4"/>
      <c r="AH917" s="4"/>
      <c r="AI917" s="4"/>
      <c r="AO917" s="4"/>
      <c r="AW917" s="4"/>
      <c r="AX917" s="4"/>
      <c r="AY917" s="4"/>
      <c r="AZ917" s="4"/>
      <c r="BB917" s="4"/>
      <c r="BC917" s="4"/>
      <c r="BD917" s="4"/>
      <c r="BE917" s="4"/>
      <c r="BF917" s="4"/>
      <c r="BG917" s="4"/>
      <c r="BH917" s="59"/>
      <c r="BI917" s="59"/>
    </row>
    <row r="918" spans="1:66" x14ac:dyDescent="0.3">
      <c r="A918" s="4"/>
      <c r="B918" s="1"/>
      <c r="C918" s="4"/>
      <c r="E918" s="34"/>
      <c r="F918" s="4"/>
      <c r="G918" s="20"/>
      <c r="H918" s="4"/>
      <c r="I918" s="4"/>
      <c r="J918" s="4"/>
      <c r="K918" s="4"/>
      <c r="O918" s="4"/>
      <c r="P918" s="4"/>
      <c r="Q918" s="4"/>
      <c r="R918" s="4"/>
      <c r="S918" s="4"/>
      <c r="T918" s="4"/>
      <c r="U918" s="4"/>
      <c r="V918" s="4"/>
      <c r="W918" s="4"/>
      <c r="X918" s="4"/>
      <c r="Y918" s="4"/>
      <c r="Z918" s="4"/>
      <c r="AA918" s="4"/>
      <c r="AB918" s="4"/>
      <c r="AC918" s="4"/>
      <c r="AD918" s="4"/>
      <c r="AE918" s="4"/>
      <c r="AF918" s="4"/>
      <c r="AG918" s="4"/>
      <c r="AH918" s="4"/>
      <c r="AI918" s="4"/>
      <c r="AO918" s="4"/>
      <c r="AW918" s="4"/>
      <c r="AX918" s="4"/>
      <c r="AY918" s="4"/>
      <c r="AZ918" s="4"/>
      <c r="BB918" s="4"/>
      <c r="BC918" s="4"/>
      <c r="BD918" s="4"/>
      <c r="BE918" s="4"/>
      <c r="BF918" s="4"/>
      <c r="BG918" s="4"/>
      <c r="BH918" s="59"/>
      <c r="BI918" s="59"/>
      <c r="BN918" s="20"/>
    </row>
    <row r="919" spans="1:66" x14ac:dyDescent="0.3">
      <c r="A919" s="4"/>
      <c r="B919" s="1"/>
      <c r="C919" s="4"/>
      <c r="E919" s="34"/>
      <c r="F919" s="4"/>
      <c r="G919" s="20"/>
      <c r="H919" s="4"/>
      <c r="I919" s="4"/>
      <c r="J919" s="4"/>
      <c r="K919" s="4"/>
      <c r="O919" s="4"/>
      <c r="P919" s="4"/>
      <c r="Q919" s="4"/>
      <c r="R919" s="4"/>
      <c r="S919" s="4"/>
      <c r="T919" s="4"/>
      <c r="U919" s="4"/>
      <c r="V919" s="4"/>
      <c r="W919" s="4"/>
      <c r="X919" s="4"/>
      <c r="Y919" s="4"/>
      <c r="Z919" s="4"/>
      <c r="AA919" s="4"/>
      <c r="AB919" s="4"/>
      <c r="AC919" s="4"/>
      <c r="AD919" s="4"/>
      <c r="AE919" s="4"/>
      <c r="AF919" s="4"/>
      <c r="AG919" s="4"/>
      <c r="AH919" s="4"/>
      <c r="AI919" s="4"/>
      <c r="AO919" s="4"/>
      <c r="AW919" s="4"/>
      <c r="AX919" s="4"/>
      <c r="AY919" s="4"/>
      <c r="AZ919" s="4"/>
      <c r="BB919" s="4"/>
      <c r="BC919" s="4"/>
      <c r="BD919" s="4"/>
      <c r="BE919" s="4"/>
      <c r="BF919" s="4"/>
      <c r="BG919" s="4"/>
      <c r="BH919" s="59"/>
      <c r="BI919" s="59"/>
    </row>
    <row r="920" spans="1:66" x14ac:dyDescent="0.3">
      <c r="A920" s="4"/>
      <c r="B920" s="1"/>
      <c r="C920" s="4"/>
      <c r="E920" s="34"/>
      <c r="F920" s="4"/>
      <c r="G920" s="20"/>
      <c r="H920" s="4"/>
      <c r="I920" s="4"/>
      <c r="J920" s="4"/>
      <c r="K920" s="4"/>
      <c r="O920" s="4"/>
      <c r="P920" s="4"/>
      <c r="Q920" s="4"/>
      <c r="R920" s="4"/>
      <c r="S920" s="4"/>
      <c r="T920" s="4"/>
      <c r="U920" s="4"/>
      <c r="V920" s="4"/>
      <c r="W920" s="4"/>
      <c r="X920" s="4"/>
      <c r="Y920" s="4"/>
      <c r="Z920" s="4"/>
      <c r="AA920" s="4"/>
      <c r="AB920" s="4"/>
      <c r="AC920" s="4"/>
      <c r="AD920" s="4"/>
      <c r="AE920" s="4"/>
      <c r="AF920" s="4"/>
      <c r="AG920" s="4"/>
      <c r="AH920" s="4"/>
      <c r="AI920" s="4"/>
      <c r="AO920" s="4"/>
      <c r="AW920" s="4"/>
      <c r="AX920" s="4"/>
      <c r="AY920" s="4"/>
      <c r="AZ920" s="4"/>
      <c r="BB920" s="4"/>
      <c r="BC920" s="4"/>
      <c r="BD920" s="4"/>
      <c r="BE920" s="4"/>
      <c r="BF920" s="4"/>
      <c r="BG920" s="4"/>
      <c r="BH920" s="59"/>
      <c r="BI920" s="59"/>
    </row>
    <row r="921" spans="1:66" x14ac:dyDescent="0.3">
      <c r="A921" s="4"/>
      <c r="B921" s="1"/>
      <c r="C921" s="4"/>
      <c r="E921" s="34"/>
      <c r="F921" s="4"/>
      <c r="G921" s="20"/>
      <c r="H921" s="4"/>
      <c r="I921" s="4"/>
      <c r="J921" s="4"/>
      <c r="K921" s="4"/>
      <c r="O921" s="4"/>
      <c r="P921" s="4"/>
      <c r="Q921" s="4"/>
      <c r="R921" s="4"/>
      <c r="S921" s="4"/>
      <c r="T921" s="4"/>
      <c r="U921" s="4"/>
      <c r="V921" s="4"/>
      <c r="W921" s="4"/>
      <c r="X921" s="4"/>
      <c r="Y921" s="4"/>
      <c r="Z921" s="4"/>
      <c r="AA921" s="4"/>
      <c r="AB921" s="4"/>
      <c r="AC921" s="4"/>
      <c r="AD921" s="4"/>
      <c r="AE921" s="4"/>
      <c r="AF921" s="4"/>
      <c r="AG921" s="4"/>
      <c r="AH921" s="4"/>
      <c r="AI921" s="4"/>
      <c r="AO921" s="4"/>
      <c r="AW921" s="4"/>
      <c r="AX921" s="4"/>
      <c r="AY921" s="4"/>
      <c r="AZ921" s="4"/>
      <c r="BB921" s="4"/>
      <c r="BC921" s="4"/>
      <c r="BD921" s="4"/>
      <c r="BE921" s="4"/>
      <c r="BF921" s="4"/>
      <c r="BG921" s="4"/>
      <c r="BH921" s="59"/>
      <c r="BI921" s="59"/>
    </row>
    <row r="922" spans="1:66" x14ac:dyDescent="0.3">
      <c r="G922" s="20"/>
    </row>
    <row r="923" spans="1:66" x14ac:dyDescent="0.3">
      <c r="G923" s="20"/>
    </row>
  </sheetData>
  <autoFilter ref="A5:BQ876"/>
  <sortState ref="B65:BR79">
    <sortCondition ref="C65:C79"/>
    <sortCondition ref="B65:B79"/>
  </sortState>
  <mergeCells count="53">
    <mergeCell ref="AJ2:AJ3"/>
    <mergeCell ref="AA2:AA3"/>
    <mergeCell ref="AG2:AG3"/>
    <mergeCell ref="AI2:AI3"/>
    <mergeCell ref="AB2:AC2"/>
    <mergeCell ref="P2:P3"/>
    <mergeCell ref="AF2:AF3"/>
    <mergeCell ref="AH2:AH3"/>
    <mergeCell ref="AE2:AE3"/>
    <mergeCell ref="H2:I3"/>
    <mergeCell ref="T2:U3"/>
    <mergeCell ref="K2:K3"/>
    <mergeCell ref="E2:G3"/>
    <mergeCell ref="AM2:AN3"/>
    <mergeCell ref="Y2:Z3"/>
    <mergeCell ref="Q2:R3"/>
    <mergeCell ref="W2:W3"/>
    <mergeCell ref="S2:S3"/>
    <mergeCell ref="O2:O3"/>
    <mergeCell ref="X2:X3"/>
    <mergeCell ref="L2:M3"/>
    <mergeCell ref="AD2:AD3"/>
    <mergeCell ref="V2:V3"/>
    <mergeCell ref="N2:N3"/>
    <mergeCell ref="J2:J3"/>
    <mergeCell ref="A2:A4"/>
    <mergeCell ref="B2:B4"/>
    <mergeCell ref="C2:C4"/>
    <mergeCell ref="D2:D4"/>
    <mergeCell ref="AU2:AV3"/>
    <mergeCell ref="AP2:AQ3"/>
    <mergeCell ref="AK2:AL3"/>
    <mergeCell ref="AR2:AS3"/>
    <mergeCell ref="AZ2:AZ3"/>
    <mergeCell ref="BB2:BC3"/>
    <mergeCell ref="AW2:AX3"/>
    <mergeCell ref="BA2:BA3"/>
    <mergeCell ref="AO2:AO3"/>
    <mergeCell ref="BQ2:BQ3"/>
    <mergeCell ref="BP2:BP3"/>
    <mergeCell ref="AT2:AT3"/>
    <mergeCell ref="BJ2:BK3"/>
    <mergeCell ref="BL2:BL3"/>
    <mergeCell ref="BO2:BO3"/>
    <mergeCell ref="BN2:BN3"/>
    <mergeCell ref="BD2:BD3"/>
    <mergeCell ref="BI2:BI3"/>
    <mergeCell ref="BF2:BF3"/>
    <mergeCell ref="AY2:AY3"/>
    <mergeCell ref="BM2:BM3"/>
    <mergeCell ref="BG2:BG3"/>
    <mergeCell ref="BE2:BE3"/>
    <mergeCell ref="BH2:BH3"/>
  </mergeCells>
  <dataValidations count="4">
    <dataValidation type="list" allowBlank="1" showInputMessage="1" showErrorMessage="1" sqref="WUC982528 WKG982528 WAK982528 VQO982528 VGS982528 UWW982528 UNA982528 UDE982528 TTI982528 TJM982528 SZQ982528 SPU982528 SFY982528 RWC982528 RMG982528 RCK982528 QSO982528 QIS982528 PYW982528 PPA982528 PFE982528 OVI982528 OLM982528 OBQ982528 NRU982528 NHY982528 MYC982528 MOG982528 MEK982528 LUO982528 LKS982528 LAW982528 KRA982528 KHE982528 JXI982528 JNM982528 JDQ982528 ITU982528 IJY982528 IAC982528 HQG982528 HGK982528 GWO982528 GMS982528 GCW982528 FTA982528 FJE982528 EZI982528 EPM982528 EFQ982528 DVU982528 DLY982528 DCC982528 CSG982528 CIK982528 BYO982528 BOS982528 BEW982528 AVA982528 ALE982528 ABI982528 RM982528 HQ982528 WUC916992 WKG916992 WAK916992 VQO916992 VGS916992 UWW916992 UNA916992 UDE916992 TTI916992 TJM916992 SZQ916992 SPU916992 SFY916992 RWC916992 RMG916992 RCK916992 QSO916992 QIS916992 PYW916992 PPA916992 PFE916992 OVI916992 OLM916992 OBQ916992 NRU916992 NHY916992 MYC916992 MOG916992 MEK916992 LUO916992 LKS916992 LAW916992 KRA916992 KHE916992 JXI916992 JNM916992 JDQ916992 ITU916992 IJY916992 IAC916992 HQG916992 HGK916992 GWO916992 GMS916992 GCW916992 FTA916992 FJE916992 EZI916992 EPM916992 EFQ916992 DVU916992 DLY916992 DCC916992 CSG916992 CIK916992 BYO916992 BOS916992 BEW916992 AVA916992 ALE916992 ABI916992 RM916992 HQ916992 WUC851456 WKG851456 WAK851456 VQO851456 VGS851456 UWW851456 UNA851456 UDE851456 TTI851456 TJM851456 SZQ851456 SPU851456 SFY851456 RWC851456 RMG851456 RCK851456 QSO851456 QIS851456 PYW851456 PPA851456 PFE851456 OVI851456 OLM851456 OBQ851456 NRU851456 NHY851456 MYC851456 MOG851456 MEK851456 LUO851456 LKS851456 LAW851456 KRA851456 KHE851456 JXI851456 JNM851456 JDQ851456 ITU851456 IJY851456 IAC851456 HQG851456 HGK851456 GWO851456 GMS851456 GCW851456 FTA851456 FJE851456 EZI851456 EPM851456 EFQ851456 DVU851456 DLY851456 DCC851456 CSG851456 CIK851456 BYO851456 BOS851456 BEW851456 AVA851456 ALE851456 ABI851456 RM851456 HQ851456 WUC785920 WKG785920 WAK785920 VQO785920 VGS785920 UWW785920 UNA785920 UDE785920 TTI785920 TJM785920 SZQ785920 SPU785920 SFY785920 RWC785920 RMG785920 RCK785920 QSO785920 QIS785920 PYW785920 PPA785920 PFE785920 OVI785920 OLM785920 OBQ785920 NRU785920 NHY785920 MYC785920 MOG785920 MEK785920 LUO785920 LKS785920 LAW785920 KRA785920 KHE785920 JXI785920 JNM785920 JDQ785920 ITU785920 IJY785920 IAC785920 HQG785920 HGK785920 GWO785920 GMS785920 GCW785920 FTA785920 FJE785920 EZI785920 EPM785920 EFQ785920 DVU785920 DLY785920 DCC785920 CSG785920 CIK785920 BYO785920 BOS785920 BEW785920 AVA785920 ALE785920 ABI785920 RM785920 HQ785920 WUC720384 WKG720384 WAK720384 VQO720384 VGS720384 UWW720384 UNA720384 UDE720384 TTI720384 TJM720384 SZQ720384 SPU720384 SFY720384 RWC720384 RMG720384 RCK720384 QSO720384 QIS720384 PYW720384 PPA720384 PFE720384 OVI720384 OLM720384 OBQ720384 NRU720384 NHY720384 MYC720384 MOG720384 MEK720384 LUO720384 LKS720384 LAW720384 KRA720384 KHE720384 JXI720384 JNM720384 JDQ720384 ITU720384 IJY720384 IAC720384 HQG720384 HGK720384 GWO720384 GMS720384 GCW720384 FTA720384 FJE720384 EZI720384 EPM720384 EFQ720384 DVU720384 DLY720384 DCC720384 CSG720384 CIK720384 BYO720384 BOS720384 BEW720384 AVA720384 ALE720384 ABI720384 RM720384 HQ720384 WUC654848 WKG654848 WAK654848 VQO654848 VGS654848 UWW654848 UNA654848 UDE654848 TTI654848 TJM654848 SZQ654848 SPU654848 SFY654848 RWC654848 RMG654848 RCK654848 QSO654848 QIS654848 PYW654848 PPA654848 PFE654848 OVI654848 OLM654848 OBQ654848 NRU654848 NHY654848 MYC654848 MOG654848 MEK654848 LUO654848 LKS654848 LAW654848 KRA654848 KHE654848 JXI654848 JNM654848 JDQ654848 ITU654848 IJY654848 IAC654848 HQG654848 HGK654848 GWO654848 GMS654848 GCW654848 FTA654848 FJE654848 EZI654848 EPM654848 EFQ654848 DVU654848 DLY654848 DCC654848 CSG654848 CIK654848 BYO654848 BOS654848 BEW654848 AVA654848 ALE654848 ABI654848 RM654848 HQ654848 WUC589312 WKG589312 WAK589312 VQO589312 VGS589312 UWW589312 UNA589312 UDE589312 TTI589312 TJM589312 SZQ589312 SPU589312 SFY589312 RWC589312 RMG589312 RCK589312 QSO589312 QIS589312 PYW589312 PPA589312 PFE589312 OVI589312 OLM589312 OBQ589312 NRU589312 NHY589312 MYC589312 MOG589312 MEK589312 LUO589312 LKS589312 LAW589312 KRA589312 KHE589312 JXI589312 JNM589312 JDQ589312 ITU589312 IJY589312 IAC589312 HQG589312 HGK589312 GWO589312 GMS589312 GCW589312 FTA589312 FJE589312 EZI589312 EPM589312 EFQ589312 DVU589312 DLY589312 DCC589312 CSG589312 CIK589312 BYO589312 BOS589312 BEW589312 AVA589312 ALE589312 ABI589312 RM589312 HQ589312 WUC523776 WKG523776 WAK523776 VQO523776 VGS523776 UWW523776 UNA523776 UDE523776 TTI523776 TJM523776 SZQ523776 SPU523776 SFY523776 RWC523776 RMG523776 RCK523776 QSO523776 QIS523776 PYW523776 PPA523776 PFE523776 OVI523776 OLM523776 OBQ523776 NRU523776 NHY523776 MYC523776 MOG523776 MEK523776 LUO523776 LKS523776 LAW523776 KRA523776 KHE523776 JXI523776 JNM523776 JDQ523776 ITU523776 IJY523776 IAC523776 HQG523776 HGK523776 GWO523776 GMS523776 GCW523776 FTA523776 FJE523776 EZI523776 EPM523776 EFQ523776 DVU523776 DLY523776 DCC523776 CSG523776 CIK523776 BYO523776 BOS523776 BEW523776 AVA523776 ALE523776 ABI523776 RM523776 HQ523776 WUC458240 WKG458240 WAK458240 VQO458240 VGS458240 UWW458240 UNA458240 UDE458240 TTI458240 TJM458240 SZQ458240 SPU458240 SFY458240 RWC458240 RMG458240 RCK458240 QSO458240 QIS458240 PYW458240 PPA458240 PFE458240 OVI458240 OLM458240 OBQ458240 NRU458240 NHY458240 MYC458240 MOG458240 MEK458240 LUO458240 LKS458240 LAW458240 KRA458240 KHE458240 JXI458240 JNM458240 JDQ458240 ITU458240 IJY458240 IAC458240 HQG458240 HGK458240 GWO458240 GMS458240 GCW458240 FTA458240 FJE458240 EZI458240 EPM458240 EFQ458240 DVU458240 DLY458240 DCC458240 CSG458240 CIK458240 BYO458240 BOS458240 BEW458240 AVA458240 ALE458240 ABI458240 RM458240 HQ458240 WUC392704 WKG392704 WAK392704 VQO392704 VGS392704 UWW392704 UNA392704 UDE392704 TTI392704 TJM392704 SZQ392704 SPU392704 SFY392704 RWC392704 RMG392704 RCK392704 QSO392704 QIS392704 PYW392704 PPA392704 PFE392704 OVI392704 OLM392704 OBQ392704 NRU392704 NHY392704 MYC392704 MOG392704 MEK392704 LUO392704 LKS392704 LAW392704 KRA392704 KHE392704 JXI392704 JNM392704 JDQ392704 ITU392704 IJY392704 IAC392704 HQG392704 HGK392704 GWO392704 GMS392704 GCW392704 FTA392704 FJE392704 EZI392704 EPM392704 EFQ392704 DVU392704 DLY392704 DCC392704 CSG392704 CIK392704 BYO392704 BOS392704 BEW392704 AVA392704 ALE392704 ABI392704 RM392704 HQ392704 WUC327168 WKG327168 WAK327168 VQO327168 VGS327168 UWW327168 UNA327168 UDE327168 TTI327168 TJM327168 SZQ327168 SPU327168 SFY327168 RWC327168 RMG327168 RCK327168 QSO327168 QIS327168 PYW327168 PPA327168 PFE327168 OVI327168 OLM327168 OBQ327168 NRU327168 NHY327168 MYC327168 MOG327168 MEK327168 LUO327168 LKS327168 LAW327168 KRA327168 KHE327168 JXI327168 JNM327168 JDQ327168 ITU327168 IJY327168 IAC327168 HQG327168 HGK327168 GWO327168 GMS327168 GCW327168 FTA327168 FJE327168 EZI327168 EPM327168 EFQ327168 DVU327168 DLY327168 DCC327168 CSG327168 CIK327168 BYO327168 BOS327168 BEW327168 AVA327168 ALE327168 ABI327168 RM327168 HQ327168 WUC261632 WKG261632 WAK261632 VQO261632 VGS261632 UWW261632 UNA261632 UDE261632 TTI261632 TJM261632 SZQ261632 SPU261632 SFY261632 RWC261632 RMG261632 RCK261632 QSO261632 QIS261632 PYW261632 PPA261632 PFE261632 OVI261632 OLM261632 OBQ261632 NRU261632 NHY261632 MYC261632 MOG261632 MEK261632 LUO261632 LKS261632 LAW261632 KRA261632 KHE261632 JXI261632 JNM261632 JDQ261632 ITU261632 IJY261632 IAC261632 HQG261632 HGK261632 GWO261632 GMS261632 GCW261632 FTA261632 FJE261632 EZI261632 EPM261632 EFQ261632 DVU261632 DLY261632 DCC261632 CSG261632 CIK261632 BYO261632 BOS261632 BEW261632 AVA261632 ALE261632 ABI261632 RM261632 HQ261632 WUC196096 WKG196096 WAK196096 VQO196096 VGS196096 UWW196096 UNA196096 UDE196096 TTI196096 TJM196096 SZQ196096 SPU196096 SFY196096 RWC196096 RMG196096 RCK196096 QSO196096 QIS196096 PYW196096 PPA196096 PFE196096 OVI196096 OLM196096 OBQ196096 NRU196096 NHY196096 MYC196096 MOG196096 MEK196096 LUO196096 LKS196096 LAW196096 KRA196096 KHE196096 JXI196096 JNM196096 JDQ196096 ITU196096 IJY196096 IAC196096 HQG196096 HGK196096 GWO196096 GMS196096 GCW196096 FTA196096 FJE196096 EZI196096 EPM196096 EFQ196096 DVU196096 DLY196096 DCC196096 CSG196096 CIK196096 BYO196096 BOS196096 BEW196096 AVA196096 ALE196096 ABI196096 RM196096 HQ196096 WUC130560 WKG130560 WAK130560 VQO130560 VGS130560 UWW130560 UNA130560 UDE130560 TTI130560 TJM130560 SZQ130560 SPU130560 SFY130560 RWC130560 RMG130560 RCK130560 QSO130560 QIS130560 PYW130560 PPA130560 PFE130560 OVI130560 OLM130560 OBQ130560 NRU130560 NHY130560 MYC130560 MOG130560 MEK130560 LUO130560 LKS130560 LAW130560 KRA130560 KHE130560 JXI130560 JNM130560 JDQ130560 ITU130560 IJY130560 IAC130560 HQG130560 HGK130560 GWO130560 GMS130560 GCW130560 FTA130560 FJE130560 EZI130560 EPM130560 EFQ130560 DVU130560 DLY130560 DCC130560 CSG130560 CIK130560 BYO130560 BOS130560 BEW130560 AVA130560 ALE130560 ABI130560 RM130560 HQ130560 WUC65024 WKG65024 WAK65024 VQO65024 VGS65024 UWW65024 UNA65024 UDE65024 TTI65024 TJM65024 SZQ65024 SPU65024 SFY65024 RWC65024 RMG65024 RCK65024 QSO65024 QIS65024 PYW65024 PPA65024 PFE65024 OVI65024 OLM65024 OBQ65024 NRU65024 NHY65024 MYC65024 MOG65024 MEK65024 LUO65024 LKS65024 LAW65024 KRA65024 KHE65024 JXI65024 JNM65024 JDQ65024 ITU65024 IJY65024 IAC65024 HQG65024 HGK65024 GWO65024 GMS65024 GCW65024 FTA65024 FJE65024 EZI65024 EPM65024 EFQ65024 DVU65024 DLY65024 DCC65024 CSG65024 CIK65024 BYO65024 BOS65024 BEW65024 AVA65024 ALE65024 ABI65024 RM65024 HQ65024 C130560 C196096 C261632 C327168 C392704 C458240 C523776 C589312 C654848 C720384 C785920 C851456 C916992 C982528 C65024 HQ5 RM5 ABI5 ALE5 AVA5 BEW5 BOS5 BYO5 CIK5 CSG5 DCC5 DLY5 DVU5 EFQ5 EPM5 EZI5 FJE5 FTA5 GCW5 GMS5 GWO5 HGK5 HQG5 IAC5 IJY5 ITU5 JDQ5 JNM5 JXI5 KHE5 KRA5 LAW5 LKS5 LUO5 MEK5 MOG5 MYC5 NHY5 NRU5 OBQ5 OLM5 OVI5 PFE5 PPA5 PYW5 QIS5 QSO5 RCK5 RMG5 RWC5 SFY5 SPU5 SZQ5 TJM5 TTI5 UDE5 UNA5 UWW5 VGS5 VQO5 WAK5 WKG5 WUC5 C5">
      <formula1>оп</formula1>
    </dataValidation>
    <dataValidation type="textLength" allowBlank="1" showInputMessage="1" showErrorMessage="1" errorTitle="Ошибка ввода номера" error="Длина идентификационного номера должна составлять от 1 до 12 символов" sqref="WUD982557 WKH982557 WAL982557 VQP982557 VGT982557 UWX982557 UNB982557 UDF982557 TTJ982557 TJN982557 SZR982557 SPV982557 SFZ982557 RWD982557 RMH982557 RCL982557 QSP982557 QIT982557 PYX982557 PPB982557 PFF982557 OVJ982557 OLN982557 OBR982557 NRV982557 NHZ982557 MYD982557 MOH982557 MEL982557 LUP982557 LKT982557 LAX982557 KRB982557 KHF982557 JXJ982557 JNN982557 JDR982557 ITV982557 IJZ982557 IAD982557 HQH982557 HGL982557 GWP982557 GMT982557 GCX982557 FTB982557 FJF982557 EZJ982557 EPN982557 EFR982557 DVV982557 DLZ982557 DCD982557 CSH982557 CIL982557 BYP982557 BOT982557 BEX982557 AVB982557 ALF982557 ABJ982557 RN982557 HR982557 WUD917021 WKH917021 WAL917021 VQP917021 VGT917021 UWX917021 UNB917021 UDF917021 TTJ917021 TJN917021 SZR917021 SPV917021 SFZ917021 RWD917021 RMH917021 RCL917021 QSP917021 QIT917021 PYX917021 PPB917021 PFF917021 OVJ917021 OLN917021 OBR917021 NRV917021 NHZ917021 MYD917021 MOH917021 MEL917021 LUP917021 LKT917021 LAX917021 KRB917021 KHF917021 JXJ917021 JNN917021 JDR917021 ITV917021 IJZ917021 IAD917021 HQH917021 HGL917021 GWP917021 GMT917021 GCX917021 FTB917021 FJF917021 EZJ917021 EPN917021 EFR917021 DVV917021 DLZ917021 DCD917021 CSH917021 CIL917021 BYP917021 BOT917021 BEX917021 AVB917021 ALF917021 ABJ917021 RN917021 HR917021 WUD851485 WKH851485 WAL851485 VQP851485 VGT851485 UWX851485 UNB851485 UDF851485 TTJ851485 TJN851485 SZR851485 SPV851485 SFZ851485 RWD851485 RMH851485 RCL851485 QSP851485 QIT851485 PYX851485 PPB851485 PFF851485 OVJ851485 OLN851485 OBR851485 NRV851485 NHZ851485 MYD851485 MOH851485 MEL851485 LUP851485 LKT851485 LAX851485 KRB851485 KHF851485 JXJ851485 JNN851485 JDR851485 ITV851485 IJZ851485 IAD851485 HQH851485 HGL851485 GWP851485 GMT851485 GCX851485 FTB851485 FJF851485 EZJ851485 EPN851485 EFR851485 DVV851485 DLZ851485 DCD851485 CSH851485 CIL851485 BYP851485 BOT851485 BEX851485 AVB851485 ALF851485 ABJ851485 RN851485 HR851485 WUD785949 WKH785949 WAL785949 VQP785949 VGT785949 UWX785949 UNB785949 UDF785949 TTJ785949 TJN785949 SZR785949 SPV785949 SFZ785949 RWD785949 RMH785949 RCL785949 QSP785949 QIT785949 PYX785949 PPB785949 PFF785949 OVJ785949 OLN785949 OBR785949 NRV785949 NHZ785949 MYD785949 MOH785949 MEL785949 LUP785949 LKT785949 LAX785949 KRB785949 KHF785949 JXJ785949 JNN785949 JDR785949 ITV785949 IJZ785949 IAD785949 HQH785949 HGL785949 GWP785949 GMT785949 GCX785949 FTB785949 FJF785949 EZJ785949 EPN785949 EFR785949 DVV785949 DLZ785949 DCD785949 CSH785949 CIL785949 BYP785949 BOT785949 BEX785949 AVB785949 ALF785949 ABJ785949 RN785949 HR785949 WUD720413 WKH720413 WAL720413 VQP720413 VGT720413 UWX720413 UNB720413 UDF720413 TTJ720413 TJN720413 SZR720413 SPV720413 SFZ720413 RWD720413 RMH720413 RCL720413 QSP720413 QIT720413 PYX720413 PPB720413 PFF720413 OVJ720413 OLN720413 OBR720413 NRV720413 NHZ720413 MYD720413 MOH720413 MEL720413 LUP720413 LKT720413 LAX720413 KRB720413 KHF720413 JXJ720413 JNN720413 JDR720413 ITV720413 IJZ720413 IAD720413 HQH720413 HGL720413 GWP720413 GMT720413 GCX720413 FTB720413 FJF720413 EZJ720413 EPN720413 EFR720413 DVV720413 DLZ720413 DCD720413 CSH720413 CIL720413 BYP720413 BOT720413 BEX720413 AVB720413 ALF720413 ABJ720413 RN720413 HR720413 WUD654877 WKH654877 WAL654877 VQP654877 VGT654877 UWX654877 UNB654877 UDF654877 TTJ654877 TJN654877 SZR654877 SPV654877 SFZ654877 RWD654877 RMH654877 RCL654877 QSP654877 QIT654877 PYX654877 PPB654877 PFF654877 OVJ654877 OLN654877 OBR654877 NRV654877 NHZ654877 MYD654877 MOH654877 MEL654877 LUP654877 LKT654877 LAX654877 KRB654877 KHF654877 JXJ654877 JNN654877 JDR654877 ITV654877 IJZ654877 IAD654877 HQH654877 HGL654877 GWP654877 GMT654877 GCX654877 FTB654877 FJF654877 EZJ654877 EPN654877 EFR654877 DVV654877 DLZ654877 DCD654877 CSH654877 CIL654877 BYP654877 BOT654877 BEX654877 AVB654877 ALF654877 ABJ654877 RN654877 HR654877 WUD589341 WKH589341 WAL589341 VQP589341 VGT589341 UWX589341 UNB589341 UDF589341 TTJ589341 TJN589341 SZR589341 SPV589341 SFZ589341 RWD589341 RMH589341 RCL589341 QSP589341 QIT589341 PYX589341 PPB589341 PFF589341 OVJ589341 OLN589341 OBR589341 NRV589341 NHZ589341 MYD589341 MOH589341 MEL589341 LUP589341 LKT589341 LAX589341 KRB589341 KHF589341 JXJ589341 JNN589341 JDR589341 ITV589341 IJZ589341 IAD589341 HQH589341 HGL589341 GWP589341 GMT589341 GCX589341 FTB589341 FJF589341 EZJ589341 EPN589341 EFR589341 DVV589341 DLZ589341 DCD589341 CSH589341 CIL589341 BYP589341 BOT589341 BEX589341 AVB589341 ALF589341 ABJ589341 RN589341 HR589341 WUD523805 WKH523805 WAL523805 VQP523805 VGT523805 UWX523805 UNB523805 UDF523805 TTJ523805 TJN523805 SZR523805 SPV523805 SFZ523805 RWD523805 RMH523805 RCL523805 QSP523805 QIT523805 PYX523805 PPB523805 PFF523805 OVJ523805 OLN523805 OBR523805 NRV523805 NHZ523805 MYD523805 MOH523805 MEL523805 LUP523805 LKT523805 LAX523805 KRB523805 KHF523805 JXJ523805 JNN523805 JDR523805 ITV523805 IJZ523805 IAD523805 HQH523805 HGL523805 GWP523805 GMT523805 GCX523805 FTB523805 FJF523805 EZJ523805 EPN523805 EFR523805 DVV523805 DLZ523805 DCD523805 CSH523805 CIL523805 BYP523805 BOT523805 BEX523805 AVB523805 ALF523805 ABJ523805 RN523805 HR523805 WUD458269 WKH458269 WAL458269 VQP458269 VGT458269 UWX458269 UNB458269 UDF458269 TTJ458269 TJN458269 SZR458269 SPV458269 SFZ458269 RWD458269 RMH458269 RCL458269 QSP458269 QIT458269 PYX458269 PPB458269 PFF458269 OVJ458269 OLN458269 OBR458269 NRV458269 NHZ458269 MYD458269 MOH458269 MEL458269 LUP458269 LKT458269 LAX458269 KRB458269 KHF458269 JXJ458269 JNN458269 JDR458269 ITV458269 IJZ458269 IAD458269 HQH458269 HGL458269 GWP458269 GMT458269 GCX458269 FTB458269 FJF458269 EZJ458269 EPN458269 EFR458269 DVV458269 DLZ458269 DCD458269 CSH458269 CIL458269 BYP458269 BOT458269 BEX458269 AVB458269 ALF458269 ABJ458269 RN458269 HR458269 WUD392733 WKH392733 WAL392733 VQP392733 VGT392733 UWX392733 UNB392733 UDF392733 TTJ392733 TJN392733 SZR392733 SPV392733 SFZ392733 RWD392733 RMH392733 RCL392733 QSP392733 QIT392733 PYX392733 PPB392733 PFF392733 OVJ392733 OLN392733 OBR392733 NRV392733 NHZ392733 MYD392733 MOH392733 MEL392733 LUP392733 LKT392733 LAX392733 KRB392733 KHF392733 JXJ392733 JNN392733 JDR392733 ITV392733 IJZ392733 IAD392733 HQH392733 HGL392733 GWP392733 GMT392733 GCX392733 FTB392733 FJF392733 EZJ392733 EPN392733 EFR392733 DVV392733 DLZ392733 DCD392733 CSH392733 CIL392733 BYP392733 BOT392733 BEX392733 AVB392733 ALF392733 ABJ392733 RN392733 HR392733 WUD327197 WKH327197 WAL327197 VQP327197 VGT327197 UWX327197 UNB327197 UDF327197 TTJ327197 TJN327197 SZR327197 SPV327197 SFZ327197 RWD327197 RMH327197 RCL327197 QSP327197 QIT327197 PYX327197 PPB327197 PFF327197 OVJ327197 OLN327197 OBR327197 NRV327197 NHZ327197 MYD327197 MOH327197 MEL327197 LUP327197 LKT327197 LAX327197 KRB327197 KHF327197 JXJ327197 JNN327197 JDR327197 ITV327197 IJZ327197 IAD327197 HQH327197 HGL327197 GWP327197 GMT327197 GCX327197 FTB327197 FJF327197 EZJ327197 EPN327197 EFR327197 DVV327197 DLZ327197 DCD327197 CSH327197 CIL327197 BYP327197 BOT327197 BEX327197 AVB327197 ALF327197 ABJ327197 RN327197 HR327197 WUD261661 WKH261661 WAL261661 VQP261661 VGT261661 UWX261661 UNB261661 UDF261661 TTJ261661 TJN261661 SZR261661 SPV261661 SFZ261661 RWD261661 RMH261661 RCL261661 QSP261661 QIT261661 PYX261661 PPB261661 PFF261661 OVJ261661 OLN261661 OBR261661 NRV261661 NHZ261661 MYD261661 MOH261661 MEL261661 LUP261661 LKT261661 LAX261661 KRB261661 KHF261661 JXJ261661 JNN261661 JDR261661 ITV261661 IJZ261661 IAD261661 HQH261661 HGL261661 GWP261661 GMT261661 GCX261661 FTB261661 FJF261661 EZJ261661 EPN261661 EFR261661 DVV261661 DLZ261661 DCD261661 CSH261661 CIL261661 BYP261661 BOT261661 BEX261661 AVB261661 ALF261661 ABJ261661 RN261661 HR261661 WUD196125 WKH196125 WAL196125 VQP196125 VGT196125 UWX196125 UNB196125 UDF196125 TTJ196125 TJN196125 SZR196125 SPV196125 SFZ196125 RWD196125 RMH196125 RCL196125 QSP196125 QIT196125 PYX196125 PPB196125 PFF196125 OVJ196125 OLN196125 OBR196125 NRV196125 NHZ196125 MYD196125 MOH196125 MEL196125 LUP196125 LKT196125 LAX196125 KRB196125 KHF196125 JXJ196125 JNN196125 JDR196125 ITV196125 IJZ196125 IAD196125 HQH196125 HGL196125 GWP196125 GMT196125 GCX196125 FTB196125 FJF196125 EZJ196125 EPN196125 EFR196125 DVV196125 DLZ196125 DCD196125 CSH196125 CIL196125 BYP196125 BOT196125 BEX196125 AVB196125 ALF196125 ABJ196125 RN196125 HR196125 WUD130589 WKH130589 WAL130589 VQP130589 VGT130589 UWX130589 UNB130589 UDF130589 TTJ130589 TJN130589 SZR130589 SPV130589 SFZ130589 RWD130589 RMH130589 RCL130589 QSP130589 QIT130589 PYX130589 PPB130589 PFF130589 OVJ130589 OLN130589 OBR130589 NRV130589 NHZ130589 MYD130589 MOH130589 MEL130589 LUP130589 LKT130589 LAX130589 KRB130589 KHF130589 JXJ130589 JNN130589 JDR130589 ITV130589 IJZ130589 IAD130589 HQH130589 HGL130589 GWP130589 GMT130589 GCX130589 FTB130589 FJF130589 EZJ130589 EPN130589 EFR130589 DVV130589 DLZ130589 DCD130589 CSH130589 CIL130589 BYP130589 BOT130589 BEX130589 AVB130589 ALF130589 ABJ130589 RN130589 HR130589 WUD65053 WKH65053 WAL65053 VQP65053 VGT65053 UWX65053 UNB65053 UDF65053 TTJ65053 TJN65053 SZR65053 SPV65053 SFZ65053 RWD65053 RMH65053 RCL65053 QSP65053 QIT65053 PYX65053 PPB65053 PFF65053 OVJ65053 OLN65053 OBR65053 NRV65053 NHZ65053 MYD65053 MOH65053 MEL65053 LUP65053 LKT65053 LAX65053 KRB65053 KHF65053 JXJ65053 JNN65053 JDR65053 ITV65053 IJZ65053 IAD65053 HQH65053 HGL65053 GWP65053 GMT65053 GCX65053 FTB65053 FJF65053 EZJ65053 EPN65053 EFR65053 DVV65053 DLZ65053 DCD65053 CSH65053 CIL65053 BYP65053 BOT65053 BEX65053 AVB65053 ALF65053 ABJ65053 RN65053 HR65053 WUD982602 WKH982602 WAL982602 VQP982602 VGT982602 UWX982602 UNB982602 UDF982602 TTJ982602 TJN982602 SZR982602 SPV982602 SFZ982602 RWD982602 RMH982602 RCL982602 QSP982602 QIT982602 PYX982602 PPB982602 PFF982602 OVJ982602 OLN982602 OBR982602 NRV982602 NHZ982602 MYD982602 MOH982602 MEL982602 LUP982602 LKT982602 LAX982602 KRB982602 KHF982602 JXJ982602 JNN982602 JDR982602 ITV982602 IJZ982602 IAD982602 HQH982602 HGL982602 GWP982602 GMT982602 GCX982602 FTB982602 FJF982602 EZJ982602 EPN982602 EFR982602 DVV982602 DLZ982602 DCD982602 CSH982602 CIL982602 BYP982602 BOT982602 BEX982602 AVB982602 ALF982602 ABJ982602 RN982602 HR982602 WUD917066 WKH917066 WAL917066 VQP917066 VGT917066 UWX917066 UNB917066 UDF917066 TTJ917066 TJN917066 SZR917066 SPV917066 SFZ917066 RWD917066 RMH917066 RCL917066 QSP917066 QIT917066 PYX917066 PPB917066 PFF917066 OVJ917066 OLN917066 OBR917066 NRV917066 NHZ917066 MYD917066 MOH917066 MEL917066 LUP917066 LKT917066 LAX917066 KRB917066 KHF917066 JXJ917066 JNN917066 JDR917066 ITV917066 IJZ917066 IAD917066 HQH917066 HGL917066 GWP917066 GMT917066 GCX917066 FTB917066 FJF917066 EZJ917066 EPN917066 EFR917066 DVV917066 DLZ917066 DCD917066 CSH917066 CIL917066 BYP917066 BOT917066 BEX917066 AVB917066 ALF917066 ABJ917066 RN917066 HR917066 WUD851530 WKH851530 WAL851530 VQP851530 VGT851530 UWX851530 UNB851530 UDF851530 TTJ851530 TJN851530 SZR851530 SPV851530 SFZ851530 RWD851530 RMH851530 RCL851530 QSP851530 QIT851530 PYX851530 PPB851530 PFF851530 OVJ851530 OLN851530 OBR851530 NRV851530 NHZ851530 MYD851530 MOH851530 MEL851530 LUP851530 LKT851530 LAX851530 KRB851530 KHF851530 JXJ851530 JNN851530 JDR851530 ITV851530 IJZ851530 IAD851530 HQH851530 HGL851530 GWP851530 GMT851530 GCX851530 FTB851530 FJF851530 EZJ851530 EPN851530 EFR851530 DVV851530 DLZ851530 DCD851530 CSH851530 CIL851530 BYP851530 BOT851530 BEX851530 AVB851530 ALF851530 ABJ851530 RN851530 HR851530 WUD785994 WKH785994 WAL785994 VQP785994 VGT785994 UWX785994 UNB785994 UDF785994 TTJ785994 TJN785994 SZR785994 SPV785994 SFZ785994 RWD785994 RMH785994 RCL785994 QSP785994 QIT785994 PYX785994 PPB785994 PFF785994 OVJ785994 OLN785994 OBR785994 NRV785994 NHZ785994 MYD785994 MOH785994 MEL785994 LUP785994 LKT785994 LAX785994 KRB785994 KHF785994 JXJ785994 JNN785994 JDR785994 ITV785994 IJZ785994 IAD785994 HQH785994 HGL785994 GWP785994 GMT785994 GCX785994 FTB785994 FJF785994 EZJ785994 EPN785994 EFR785994 DVV785994 DLZ785994 DCD785994 CSH785994 CIL785994 BYP785994 BOT785994 BEX785994 AVB785994 ALF785994 ABJ785994 RN785994 HR785994 WUD720458 WKH720458 WAL720458 VQP720458 VGT720458 UWX720458 UNB720458 UDF720458 TTJ720458 TJN720458 SZR720458 SPV720458 SFZ720458 RWD720458 RMH720458 RCL720458 QSP720458 QIT720458 PYX720458 PPB720458 PFF720458 OVJ720458 OLN720458 OBR720458 NRV720458 NHZ720458 MYD720458 MOH720458 MEL720458 LUP720458 LKT720458 LAX720458 KRB720458 KHF720458 JXJ720458 JNN720458 JDR720458 ITV720458 IJZ720458 IAD720458 HQH720458 HGL720458 GWP720458 GMT720458 GCX720458 FTB720458 FJF720458 EZJ720458 EPN720458 EFR720458 DVV720458 DLZ720458 DCD720458 CSH720458 CIL720458 BYP720458 BOT720458 BEX720458 AVB720458 ALF720458 ABJ720458 RN720458 HR720458 WUD654922 WKH654922 WAL654922 VQP654922 VGT654922 UWX654922 UNB654922 UDF654922 TTJ654922 TJN654922 SZR654922 SPV654922 SFZ654922 RWD654922 RMH654922 RCL654922 QSP654922 QIT654922 PYX654922 PPB654922 PFF654922 OVJ654922 OLN654922 OBR654922 NRV654922 NHZ654922 MYD654922 MOH654922 MEL654922 LUP654922 LKT654922 LAX654922 KRB654922 KHF654922 JXJ654922 JNN654922 JDR654922 ITV654922 IJZ654922 IAD654922 HQH654922 HGL654922 GWP654922 GMT654922 GCX654922 FTB654922 FJF654922 EZJ654922 EPN654922 EFR654922 DVV654922 DLZ654922 DCD654922 CSH654922 CIL654922 BYP654922 BOT654922 BEX654922 AVB654922 ALF654922 ABJ654922 RN654922 HR654922 WUD589386 WKH589386 WAL589386 VQP589386 VGT589386 UWX589386 UNB589386 UDF589386 TTJ589386 TJN589386 SZR589386 SPV589386 SFZ589386 RWD589386 RMH589386 RCL589386 QSP589386 QIT589386 PYX589386 PPB589386 PFF589386 OVJ589386 OLN589386 OBR589386 NRV589386 NHZ589386 MYD589386 MOH589386 MEL589386 LUP589386 LKT589386 LAX589386 KRB589386 KHF589386 JXJ589386 JNN589386 JDR589386 ITV589386 IJZ589386 IAD589386 HQH589386 HGL589386 GWP589386 GMT589386 GCX589386 FTB589386 FJF589386 EZJ589386 EPN589386 EFR589386 DVV589386 DLZ589386 DCD589386 CSH589386 CIL589386 BYP589386 BOT589386 BEX589386 AVB589386 ALF589386 ABJ589386 RN589386 HR589386 WUD523850 WKH523850 WAL523850 VQP523850 VGT523850 UWX523850 UNB523850 UDF523850 TTJ523850 TJN523850 SZR523850 SPV523850 SFZ523850 RWD523850 RMH523850 RCL523850 QSP523850 QIT523850 PYX523850 PPB523850 PFF523850 OVJ523850 OLN523850 OBR523850 NRV523850 NHZ523850 MYD523850 MOH523850 MEL523850 LUP523850 LKT523850 LAX523850 KRB523850 KHF523850 JXJ523850 JNN523850 JDR523850 ITV523850 IJZ523850 IAD523850 HQH523850 HGL523850 GWP523850 GMT523850 GCX523850 FTB523850 FJF523850 EZJ523850 EPN523850 EFR523850 DVV523850 DLZ523850 DCD523850 CSH523850 CIL523850 BYP523850 BOT523850 BEX523850 AVB523850 ALF523850 ABJ523850 RN523850 HR523850 WUD458314 WKH458314 WAL458314 VQP458314 VGT458314 UWX458314 UNB458314 UDF458314 TTJ458314 TJN458314 SZR458314 SPV458314 SFZ458314 RWD458314 RMH458314 RCL458314 QSP458314 QIT458314 PYX458314 PPB458314 PFF458314 OVJ458314 OLN458314 OBR458314 NRV458314 NHZ458314 MYD458314 MOH458314 MEL458314 LUP458314 LKT458314 LAX458314 KRB458314 KHF458314 JXJ458314 JNN458314 JDR458314 ITV458314 IJZ458314 IAD458314 HQH458314 HGL458314 GWP458314 GMT458314 GCX458314 FTB458314 FJF458314 EZJ458314 EPN458314 EFR458314 DVV458314 DLZ458314 DCD458314 CSH458314 CIL458314 BYP458314 BOT458314 BEX458314 AVB458314 ALF458314 ABJ458314 RN458314 HR458314 WUD392778 WKH392778 WAL392778 VQP392778 VGT392778 UWX392778 UNB392778 UDF392778 TTJ392778 TJN392778 SZR392778 SPV392778 SFZ392778 RWD392778 RMH392778 RCL392778 QSP392778 QIT392778 PYX392778 PPB392778 PFF392778 OVJ392778 OLN392778 OBR392778 NRV392778 NHZ392778 MYD392778 MOH392778 MEL392778 LUP392778 LKT392778 LAX392778 KRB392778 KHF392778 JXJ392778 JNN392778 JDR392778 ITV392778 IJZ392778 IAD392778 HQH392778 HGL392778 GWP392778 GMT392778 GCX392778 FTB392778 FJF392778 EZJ392778 EPN392778 EFR392778 DVV392778 DLZ392778 DCD392778 CSH392778 CIL392778 BYP392778 BOT392778 BEX392778 AVB392778 ALF392778 ABJ392778 RN392778 HR392778 WUD327242 WKH327242 WAL327242 VQP327242 VGT327242 UWX327242 UNB327242 UDF327242 TTJ327242 TJN327242 SZR327242 SPV327242 SFZ327242 RWD327242 RMH327242 RCL327242 QSP327242 QIT327242 PYX327242 PPB327242 PFF327242 OVJ327242 OLN327242 OBR327242 NRV327242 NHZ327242 MYD327242 MOH327242 MEL327242 LUP327242 LKT327242 LAX327242 KRB327242 KHF327242 JXJ327242 JNN327242 JDR327242 ITV327242 IJZ327242 IAD327242 HQH327242 HGL327242 GWP327242 GMT327242 GCX327242 FTB327242 FJF327242 EZJ327242 EPN327242 EFR327242 DVV327242 DLZ327242 DCD327242 CSH327242 CIL327242 BYP327242 BOT327242 BEX327242 AVB327242 ALF327242 ABJ327242 RN327242 HR327242 WUD261706 WKH261706 WAL261706 VQP261706 VGT261706 UWX261706 UNB261706 UDF261706 TTJ261706 TJN261706 SZR261706 SPV261706 SFZ261706 RWD261706 RMH261706 RCL261706 QSP261706 QIT261706 PYX261706 PPB261706 PFF261706 OVJ261706 OLN261706 OBR261706 NRV261706 NHZ261706 MYD261706 MOH261706 MEL261706 LUP261706 LKT261706 LAX261706 KRB261706 KHF261706 JXJ261706 JNN261706 JDR261706 ITV261706 IJZ261706 IAD261706 HQH261706 HGL261706 GWP261706 GMT261706 GCX261706 FTB261706 FJF261706 EZJ261706 EPN261706 EFR261706 DVV261706 DLZ261706 DCD261706 CSH261706 CIL261706 BYP261706 BOT261706 BEX261706 AVB261706 ALF261706 ABJ261706 RN261706 HR261706 WUD196170 WKH196170 WAL196170 VQP196170 VGT196170 UWX196170 UNB196170 UDF196170 TTJ196170 TJN196170 SZR196170 SPV196170 SFZ196170 RWD196170 RMH196170 RCL196170 QSP196170 QIT196170 PYX196170 PPB196170 PFF196170 OVJ196170 OLN196170 OBR196170 NRV196170 NHZ196170 MYD196170 MOH196170 MEL196170 LUP196170 LKT196170 LAX196170 KRB196170 KHF196170 JXJ196170 JNN196170 JDR196170 ITV196170 IJZ196170 IAD196170 HQH196170 HGL196170 GWP196170 GMT196170 GCX196170 FTB196170 FJF196170 EZJ196170 EPN196170 EFR196170 DVV196170 DLZ196170 DCD196170 CSH196170 CIL196170 BYP196170 BOT196170 BEX196170 AVB196170 ALF196170 ABJ196170 RN196170 HR196170 WUD130634 WKH130634 WAL130634 VQP130634 VGT130634 UWX130634 UNB130634 UDF130634 TTJ130634 TJN130634 SZR130634 SPV130634 SFZ130634 RWD130634 RMH130634 RCL130634 QSP130634 QIT130634 PYX130634 PPB130634 PFF130634 OVJ130634 OLN130634 OBR130634 NRV130634 NHZ130634 MYD130634 MOH130634 MEL130634 LUP130634 LKT130634 LAX130634 KRB130634 KHF130634 JXJ130634 JNN130634 JDR130634 ITV130634 IJZ130634 IAD130634 HQH130634 HGL130634 GWP130634 GMT130634 GCX130634 FTB130634 FJF130634 EZJ130634 EPN130634 EFR130634 DVV130634 DLZ130634 DCD130634 CSH130634 CIL130634 BYP130634 BOT130634 BEX130634 AVB130634 ALF130634 ABJ130634 RN130634 HR130634 WUD65098 WKH65098 WAL65098 VQP65098 VGT65098 UWX65098 UNB65098 UDF65098 TTJ65098 TJN65098 SZR65098 SPV65098 SFZ65098 RWD65098 RMH65098 RCL65098 QSP65098 QIT65098 PYX65098 PPB65098 PFF65098 OVJ65098 OLN65098 OBR65098 NRV65098 NHZ65098 MYD65098 MOH65098 MEL65098 LUP65098 LKT65098 LAX65098 KRB65098 KHF65098 JXJ65098 JNN65098 JDR65098 ITV65098 IJZ65098 IAD65098 HQH65098 HGL65098 GWP65098 GMT65098 GCX65098 FTB65098 FJF65098 EZJ65098 EPN65098 EFR65098 DVV65098 DLZ65098 DCD65098 CSH65098 CIL65098 BYP65098 BOT65098 BEX65098 AVB65098 ALF65098 ABJ65098 RN65098 HR65098 D130634 D196170 D261706 D327242 D392778 D458314 D523850 D589386 D654922 D720458 D785994 D851530 D917066 D982602 D65053 D130589 D196125 D261661 D327197 D392733 D458269 D523805 D589341 D654877 D720413 D785949 D851485 D917021 D982557 D65098 WUD26 WKH26 WAL26 VQP26 VGT26 UWX26 UNB26 UDF26 TTJ26 TJN26 SZR26 SPV26 SFZ26 RWD26 RMH26 RCL26 QSP26 QIT26 PYX26 PPB26 PFF26 OVJ26 OLN26 OBR26 NRV26 NHZ26 MYD26 MOH26 MEL26 LUP26 LKT26 LAX26 KRB26 KHF26 JXJ26 JNN26 JDR26 ITV26 IJZ26 IAD26 HQH26 HGL26 GWP26 GMT26 GCX26 FTB26 FJF26 EZJ26 EPN26 EFR26 DVV26 DLZ26 DCD26 CSH26 CIL26 BYP26 BOT26 BEX26 AVB26 ALF26 ABJ26 RN26 HR26 D26">
      <formula1>1</formula1>
      <formula2>12</formula2>
    </dataValidation>
    <dataValidation type="textLength" allowBlank="1" showInputMessage="1" showErrorMessage="1" error="Количество символов ИНН может быть 10 или 12 символов" sqref="WUD982859 WKH982859 WAL982859 VQP982859 VGT982859 UWX982859 UNB982859 UDF982859 TTJ982859 TJN982859 SZR982859 SPV982859 SFZ982859 RWD982859 RMH982859 RCL982859 QSP982859 QIT982859 PYX982859 PPB982859 PFF982859 OVJ982859 OLN982859 OBR982859 NRV982859 NHZ982859 MYD982859 MOH982859 MEL982859 LUP982859 LKT982859 LAX982859 KRB982859 KHF982859 JXJ982859 JNN982859 JDR982859 ITV982859 IJZ982859 IAD982859 HQH982859 HGL982859 GWP982859 GMT982859 GCX982859 FTB982859 FJF982859 EZJ982859 EPN982859 EFR982859 DVV982859 DLZ982859 DCD982859 CSH982859 CIL982859 BYP982859 BOT982859 BEX982859 AVB982859 ALF982859 ABJ982859 RN982859 HR982859 WUD917323 WKH917323 WAL917323 VQP917323 VGT917323 UWX917323 UNB917323 UDF917323 TTJ917323 TJN917323 SZR917323 SPV917323 SFZ917323 RWD917323 RMH917323 RCL917323 QSP917323 QIT917323 PYX917323 PPB917323 PFF917323 OVJ917323 OLN917323 OBR917323 NRV917323 NHZ917323 MYD917323 MOH917323 MEL917323 LUP917323 LKT917323 LAX917323 KRB917323 KHF917323 JXJ917323 JNN917323 JDR917323 ITV917323 IJZ917323 IAD917323 HQH917323 HGL917323 GWP917323 GMT917323 GCX917323 FTB917323 FJF917323 EZJ917323 EPN917323 EFR917323 DVV917323 DLZ917323 DCD917323 CSH917323 CIL917323 BYP917323 BOT917323 BEX917323 AVB917323 ALF917323 ABJ917323 RN917323 HR917323 WUD851787 WKH851787 WAL851787 VQP851787 VGT851787 UWX851787 UNB851787 UDF851787 TTJ851787 TJN851787 SZR851787 SPV851787 SFZ851787 RWD851787 RMH851787 RCL851787 QSP851787 QIT851787 PYX851787 PPB851787 PFF851787 OVJ851787 OLN851787 OBR851787 NRV851787 NHZ851787 MYD851787 MOH851787 MEL851787 LUP851787 LKT851787 LAX851787 KRB851787 KHF851787 JXJ851787 JNN851787 JDR851787 ITV851787 IJZ851787 IAD851787 HQH851787 HGL851787 GWP851787 GMT851787 GCX851787 FTB851787 FJF851787 EZJ851787 EPN851787 EFR851787 DVV851787 DLZ851787 DCD851787 CSH851787 CIL851787 BYP851787 BOT851787 BEX851787 AVB851787 ALF851787 ABJ851787 RN851787 HR851787 WUD786251 WKH786251 WAL786251 VQP786251 VGT786251 UWX786251 UNB786251 UDF786251 TTJ786251 TJN786251 SZR786251 SPV786251 SFZ786251 RWD786251 RMH786251 RCL786251 QSP786251 QIT786251 PYX786251 PPB786251 PFF786251 OVJ786251 OLN786251 OBR786251 NRV786251 NHZ786251 MYD786251 MOH786251 MEL786251 LUP786251 LKT786251 LAX786251 KRB786251 KHF786251 JXJ786251 JNN786251 JDR786251 ITV786251 IJZ786251 IAD786251 HQH786251 HGL786251 GWP786251 GMT786251 GCX786251 FTB786251 FJF786251 EZJ786251 EPN786251 EFR786251 DVV786251 DLZ786251 DCD786251 CSH786251 CIL786251 BYP786251 BOT786251 BEX786251 AVB786251 ALF786251 ABJ786251 RN786251 HR786251 WUD720715 WKH720715 WAL720715 VQP720715 VGT720715 UWX720715 UNB720715 UDF720715 TTJ720715 TJN720715 SZR720715 SPV720715 SFZ720715 RWD720715 RMH720715 RCL720715 QSP720715 QIT720715 PYX720715 PPB720715 PFF720715 OVJ720715 OLN720715 OBR720715 NRV720715 NHZ720715 MYD720715 MOH720715 MEL720715 LUP720715 LKT720715 LAX720715 KRB720715 KHF720715 JXJ720715 JNN720715 JDR720715 ITV720715 IJZ720715 IAD720715 HQH720715 HGL720715 GWP720715 GMT720715 GCX720715 FTB720715 FJF720715 EZJ720715 EPN720715 EFR720715 DVV720715 DLZ720715 DCD720715 CSH720715 CIL720715 BYP720715 BOT720715 BEX720715 AVB720715 ALF720715 ABJ720715 RN720715 HR720715 WUD655179 WKH655179 WAL655179 VQP655179 VGT655179 UWX655179 UNB655179 UDF655179 TTJ655179 TJN655179 SZR655179 SPV655179 SFZ655179 RWD655179 RMH655179 RCL655179 QSP655179 QIT655179 PYX655179 PPB655179 PFF655179 OVJ655179 OLN655179 OBR655179 NRV655179 NHZ655179 MYD655179 MOH655179 MEL655179 LUP655179 LKT655179 LAX655179 KRB655179 KHF655179 JXJ655179 JNN655179 JDR655179 ITV655179 IJZ655179 IAD655179 HQH655179 HGL655179 GWP655179 GMT655179 GCX655179 FTB655179 FJF655179 EZJ655179 EPN655179 EFR655179 DVV655179 DLZ655179 DCD655179 CSH655179 CIL655179 BYP655179 BOT655179 BEX655179 AVB655179 ALF655179 ABJ655179 RN655179 HR655179 WUD589643 WKH589643 WAL589643 VQP589643 VGT589643 UWX589643 UNB589643 UDF589643 TTJ589643 TJN589643 SZR589643 SPV589643 SFZ589643 RWD589643 RMH589643 RCL589643 QSP589643 QIT589643 PYX589643 PPB589643 PFF589643 OVJ589643 OLN589643 OBR589643 NRV589643 NHZ589643 MYD589643 MOH589643 MEL589643 LUP589643 LKT589643 LAX589643 KRB589643 KHF589643 JXJ589643 JNN589643 JDR589643 ITV589643 IJZ589643 IAD589643 HQH589643 HGL589643 GWP589643 GMT589643 GCX589643 FTB589643 FJF589643 EZJ589643 EPN589643 EFR589643 DVV589643 DLZ589643 DCD589643 CSH589643 CIL589643 BYP589643 BOT589643 BEX589643 AVB589643 ALF589643 ABJ589643 RN589643 HR589643 WUD524107 WKH524107 WAL524107 VQP524107 VGT524107 UWX524107 UNB524107 UDF524107 TTJ524107 TJN524107 SZR524107 SPV524107 SFZ524107 RWD524107 RMH524107 RCL524107 QSP524107 QIT524107 PYX524107 PPB524107 PFF524107 OVJ524107 OLN524107 OBR524107 NRV524107 NHZ524107 MYD524107 MOH524107 MEL524107 LUP524107 LKT524107 LAX524107 KRB524107 KHF524107 JXJ524107 JNN524107 JDR524107 ITV524107 IJZ524107 IAD524107 HQH524107 HGL524107 GWP524107 GMT524107 GCX524107 FTB524107 FJF524107 EZJ524107 EPN524107 EFR524107 DVV524107 DLZ524107 DCD524107 CSH524107 CIL524107 BYP524107 BOT524107 BEX524107 AVB524107 ALF524107 ABJ524107 RN524107 HR524107 WUD458571 WKH458571 WAL458571 VQP458571 VGT458571 UWX458571 UNB458571 UDF458571 TTJ458571 TJN458571 SZR458571 SPV458571 SFZ458571 RWD458571 RMH458571 RCL458571 QSP458571 QIT458571 PYX458571 PPB458571 PFF458571 OVJ458571 OLN458571 OBR458571 NRV458571 NHZ458571 MYD458571 MOH458571 MEL458571 LUP458571 LKT458571 LAX458571 KRB458571 KHF458571 JXJ458571 JNN458571 JDR458571 ITV458571 IJZ458571 IAD458571 HQH458571 HGL458571 GWP458571 GMT458571 GCX458571 FTB458571 FJF458571 EZJ458571 EPN458571 EFR458571 DVV458571 DLZ458571 DCD458571 CSH458571 CIL458571 BYP458571 BOT458571 BEX458571 AVB458571 ALF458571 ABJ458571 RN458571 HR458571 WUD393035 WKH393035 WAL393035 VQP393035 VGT393035 UWX393035 UNB393035 UDF393035 TTJ393035 TJN393035 SZR393035 SPV393035 SFZ393035 RWD393035 RMH393035 RCL393035 QSP393035 QIT393035 PYX393035 PPB393035 PFF393035 OVJ393035 OLN393035 OBR393035 NRV393035 NHZ393035 MYD393035 MOH393035 MEL393035 LUP393035 LKT393035 LAX393035 KRB393035 KHF393035 JXJ393035 JNN393035 JDR393035 ITV393035 IJZ393035 IAD393035 HQH393035 HGL393035 GWP393035 GMT393035 GCX393035 FTB393035 FJF393035 EZJ393035 EPN393035 EFR393035 DVV393035 DLZ393035 DCD393035 CSH393035 CIL393035 BYP393035 BOT393035 BEX393035 AVB393035 ALF393035 ABJ393035 RN393035 HR393035 WUD327499 WKH327499 WAL327499 VQP327499 VGT327499 UWX327499 UNB327499 UDF327499 TTJ327499 TJN327499 SZR327499 SPV327499 SFZ327499 RWD327499 RMH327499 RCL327499 QSP327499 QIT327499 PYX327499 PPB327499 PFF327499 OVJ327499 OLN327499 OBR327499 NRV327499 NHZ327499 MYD327499 MOH327499 MEL327499 LUP327499 LKT327499 LAX327499 KRB327499 KHF327499 JXJ327499 JNN327499 JDR327499 ITV327499 IJZ327499 IAD327499 HQH327499 HGL327499 GWP327499 GMT327499 GCX327499 FTB327499 FJF327499 EZJ327499 EPN327499 EFR327499 DVV327499 DLZ327499 DCD327499 CSH327499 CIL327499 BYP327499 BOT327499 BEX327499 AVB327499 ALF327499 ABJ327499 RN327499 HR327499 WUD261963 WKH261963 WAL261963 VQP261963 VGT261963 UWX261963 UNB261963 UDF261963 TTJ261963 TJN261963 SZR261963 SPV261963 SFZ261963 RWD261963 RMH261963 RCL261963 QSP261963 QIT261963 PYX261963 PPB261963 PFF261963 OVJ261963 OLN261963 OBR261963 NRV261963 NHZ261963 MYD261963 MOH261963 MEL261963 LUP261963 LKT261963 LAX261963 KRB261963 KHF261963 JXJ261963 JNN261963 JDR261963 ITV261963 IJZ261963 IAD261963 HQH261963 HGL261963 GWP261963 GMT261963 GCX261963 FTB261963 FJF261963 EZJ261963 EPN261963 EFR261963 DVV261963 DLZ261963 DCD261963 CSH261963 CIL261963 BYP261963 BOT261963 BEX261963 AVB261963 ALF261963 ABJ261963 RN261963 HR261963 WUD196427 WKH196427 WAL196427 VQP196427 VGT196427 UWX196427 UNB196427 UDF196427 TTJ196427 TJN196427 SZR196427 SPV196427 SFZ196427 RWD196427 RMH196427 RCL196427 QSP196427 QIT196427 PYX196427 PPB196427 PFF196427 OVJ196427 OLN196427 OBR196427 NRV196427 NHZ196427 MYD196427 MOH196427 MEL196427 LUP196427 LKT196427 LAX196427 KRB196427 KHF196427 JXJ196427 JNN196427 JDR196427 ITV196427 IJZ196427 IAD196427 HQH196427 HGL196427 GWP196427 GMT196427 GCX196427 FTB196427 FJF196427 EZJ196427 EPN196427 EFR196427 DVV196427 DLZ196427 DCD196427 CSH196427 CIL196427 BYP196427 BOT196427 BEX196427 AVB196427 ALF196427 ABJ196427 RN196427 HR196427 WUD130891 WKH130891 WAL130891 VQP130891 VGT130891 UWX130891 UNB130891 UDF130891 TTJ130891 TJN130891 SZR130891 SPV130891 SFZ130891 RWD130891 RMH130891 RCL130891 QSP130891 QIT130891 PYX130891 PPB130891 PFF130891 OVJ130891 OLN130891 OBR130891 NRV130891 NHZ130891 MYD130891 MOH130891 MEL130891 LUP130891 LKT130891 LAX130891 KRB130891 KHF130891 JXJ130891 JNN130891 JDR130891 ITV130891 IJZ130891 IAD130891 HQH130891 HGL130891 GWP130891 GMT130891 GCX130891 FTB130891 FJF130891 EZJ130891 EPN130891 EFR130891 DVV130891 DLZ130891 DCD130891 CSH130891 CIL130891 BYP130891 BOT130891 BEX130891 AVB130891 ALF130891 ABJ130891 RN130891 HR130891 WUD65355 WKH65355 WAL65355 VQP65355 VGT65355 UWX65355 UNB65355 UDF65355 TTJ65355 TJN65355 SZR65355 SPV65355 SFZ65355 RWD65355 RMH65355 RCL65355 QSP65355 QIT65355 PYX65355 PPB65355 PFF65355 OVJ65355 OLN65355 OBR65355 NRV65355 NHZ65355 MYD65355 MOH65355 MEL65355 LUP65355 LKT65355 LAX65355 KRB65355 KHF65355 JXJ65355 JNN65355 JDR65355 ITV65355 IJZ65355 IAD65355 HQH65355 HGL65355 GWP65355 GMT65355 GCX65355 FTB65355 FJF65355 EZJ65355 EPN65355 EFR65355 DVV65355 DLZ65355 DCD65355 CSH65355 CIL65355 BYP65355 BOT65355 BEX65355 AVB65355 ALF65355 ABJ65355 RN65355 HR65355 D130891 D196427 D261963 D327499 D393035 D458571 D524107 D589643 D655179 D720715 D786251 D851787 D917323 D982859 D65355">
      <formula1>10</formula1>
      <formula2>12</formula2>
    </dataValidation>
    <dataValidation type="textLength" operator="equal" allowBlank="1" showInputMessage="1" showErrorMessage="1" errorTitle="Ошибка ввода ОКАТО" error="Длина кода ОКАТО должна состалять 11 символов" sqref="HV65987 WUH983274:WUH983278 WKL983274:WKL983278 WAP983274:WAP983278 VQT983274:VQT983278 VGX983274:VGX983278 UXB983274:UXB983278 UNF983274:UNF983278 UDJ983274:UDJ983278 TTN983274:TTN983278 TJR983274:TJR983278 SZV983274:SZV983278 SPZ983274:SPZ983278 SGD983274:SGD983278 RWH983274:RWH983278 RML983274:RML983278 RCP983274:RCP983278 QST983274:QST983278 QIX983274:QIX983278 PZB983274:PZB983278 PPF983274:PPF983278 PFJ983274:PFJ983278 OVN983274:OVN983278 OLR983274:OLR983278 OBV983274:OBV983278 NRZ983274:NRZ983278 NID983274:NID983278 MYH983274:MYH983278 MOL983274:MOL983278 MEP983274:MEP983278 LUT983274:LUT983278 LKX983274:LKX983278 LBB983274:LBB983278 KRF983274:KRF983278 KHJ983274:KHJ983278 JXN983274:JXN983278 JNR983274:JNR983278 JDV983274:JDV983278 ITZ983274:ITZ983278 IKD983274:IKD983278 IAH983274:IAH983278 HQL983274:HQL983278 HGP983274:HGP983278 GWT983274:GWT983278 GMX983274:GMX983278 GDB983274:GDB983278 FTF983274:FTF983278 FJJ983274:FJJ983278 EZN983274:EZN983278 EPR983274:EPR983278 EFV983274:EFV983278 DVZ983274:DVZ983278 DMD983274:DMD983278 DCH983274:DCH983278 CSL983274:CSL983278 CIP983274:CIP983278 BYT983274:BYT983278 BOX983274:BOX983278 BFB983274:BFB983278 AVF983274:AVF983278 ALJ983274:ALJ983278 ABN983274:ABN983278 RR983274:RR983278 HV983274:HV983278 WUH917738:WUH917742 WKL917738:WKL917742 WAP917738:WAP917742 VQT917738:VQT917742 VGX917738:VGX917742 UXB917738:UXB917742 UNF917738:UNF917742 UDJ917738:UDJ917742 TTN917738:TTN917742 TJR917738:TJR917742 SZV917738:SZV917742 SPZ917738:SPZ917742 SGD917738:SGD917742 RWH917738:RWH917742 RML917738:RML917742 RCP917738:RCP917742 QST917738:QST917742 QIX917738:QIX917742 PZB917738:PZB917742 PPF917738:PPF917742 PFJ917738:PFJ917742 OVN917738:OVN917742 OLR917738:OLR917742 OBV917738:OBV917742 NRZ917738:NRZ917742 NID917738:NID917742 MYH917738:MYH917742 MOL917738:MOL917742 MEP917738:MEP917742 LUT917738:LUT917742 LKX917738:LKX917742 LBB917738:LBB917742 KRF917738:KRF917742 KHJ917738:KHJ917742 JXN917738:JXN917742 JNR917738:JNR917742 JDV917738:JDV917742 ITZ917738:ITZ917742 IKD917738:IKD917742 IAH917738:IAH917742 HQL917738:HQL917742 HGP917738:HGP917742 GWT917738:GWT917742 GMX917738:GMX917742 GDB917738:GDB917742 FTF917738:FTF917742 FJJ917738:FJJ917742 EZN917738:EZN917742 EPR917738:EPR917742 EFV917738:EFV917742 DVZ917738:DVZ917742 DMD917738:DMD917742 DCH917738:DCH917742 CSL917738:CSL917742 CIP917738:CIP917742 BYT917738:BYT917742 BOX917738:BOX917742 BFB917738:BFB917742 AVF917738:AVF917742 ALJ917738:ALJ917742 ABN917738:ABN917742 RR917738:RR917742 HV917738:HV917742 WUH852202:WUH852206 WKL852202:WKL852206 WAP852202:WAP852206 VQT852202:VQT852206 VGX852202:VGX852206 UXB852202:UXB852206 UNF852202:UNF852206 UDJ852202:UDJ852206 TTN852202:TTN852206 TJR852202:TJR852206 SZV852202:SZV852206 SPZ852202:SPZ852206 SGD852202:SGD852206 RWH852202:RWH852206 RML852202:RML852206 RCP852202:RCP852206 QST852202:QST852206 QIX852202:QIX852206 PZB852202:PZB852206 PPF852202:PPF852206 PFJ852202:PFJ852206 OVN852202:OVN852206 OLR852202:OLR852206 OBV852202:OBV852206 NRZ852202:NRZ852206 NID852202:NID852206 MYH852202:MYH852206 MOL852202:MOL852206 MEP852202:MEP852206 LUT852202:LUT852206 LKX852202:LKX852206 LBB852202:LBB852206 KRF852202:KRF852206 KHJ852202:KHJ852206 JXN852202:JXN852206 JNR852202:JNR852206 JDV852202:JDV852206 ITZ852202:ITZ852206 IKD852202:IKD852206 IAH852202:IAH852206 HQL852202:HQL852206 HGP852202:HGP852206 GWT852202:GWT852206 GMX852202:GMX852206 GDB852202:GDB852206 FTF852202:FTF852206 FJJ852202:FJJ852206 EZN852202:EZN852206 EPR852202:EPR852206 EFV852202:EFV852206 DVZ852202:DVZ852206 DMD852202:DMD852206 DCH852202:DCH852206 CSL852202:CSL852206 CIP852202:CIP852206 BYT852202:BYT852206 BOX852202:BOX852206 BFB852202:BFB852206 AVF852202:AVF852206 ALJ852202:ALJ852206 ABN852202:ABN852206 RR852202:RR852206 HV852202:HV852206 WUH786666:WUH786670 WKL786666:WKL786670 WAP786666:WAP786670 VQT786666:VQT786670 VGX786666:VGX786670 UXB786666:UXB786670 UNF786666:UNF786670 UDJ786666:UDJ786670 TTN786666:TTN786670 TJR786666:TJR786670 SZV786666:SZV786670 SPZ786666:SPZ786670 SGD786666:SGD786670 RWH786666:RWH786670 RML786666:RML786670 RCP786666:RCP786670 QST786666:QST786670 QIX786666:QIX786670 PZB786666:PZB786670 PPF786666:PPF786670 PFJ786666:PFJ786670 OVN786666:OVN786670 OLR786666:OLR786670 OBV786666:OBV786670 NRZ786666:NRZ786670 NID786666:NID786670 MYH786666:MYH786670 MOL786666:MOL786670 MEP786666:MEP786670 LUT786666:LUT786670 LKX786666:LKX786670 LBB786666:LBB786670 KRF786666:KRF786670 KHJ786666:KHJ786670 JXN786666:JXN786670 JNR786666:JNR786670 JDV786666:JDV786670 ITZ786666:ITZ786670 IKD786666:IKD786670 IAH786666:IAH786670 HQL786666:HQL786670 HGP786666:HGP786670 GWT786666:GWT786670 GMX786666:GMX786670 GDB786666:GDB786670 FTF786666:FTF786670 FJJ786666:FJJ786670 EZN786666:EZN786670 EPR786666:EPR786670 EFV786666:EFV786670 DVZ786666:DVZ786670 DMD786666:DMD786670 DCH786666:DCH786670 CSL786666:CSL786670 CIP786666:CIP786670 BYT786666:BYT786670 BOX786666:BOX786670 BFB786666:BFB786670 AVF786666:AVF786670 ALJ786666:ALJ786670 ABN786666:ABN786670 RR786666:RR786670 HV786666:HV786670 WUH721130:WUH721134 WKL721130:WKL721134 WAP721130:WAP721134 VQT721130:VQT721134 VGX721130:VGX721134 UXB721130:UXB721134 UNF721130:UNF721134 UDJ721130:UDJ721134 TTN721130:TTN721134 TJR721130:TJR721134 SZV721130:SZV721134 SPZ721130:SPZ721134 SGD721130:SGD721134 RWH721130:RWH721134 RML721130:RML721134 RCP721130:RCP721134 QST721130:QST721134 QIX721130:QIX721134 PZB721130:PZB721134 PPF721130:PPF721134 PFJ721130:PFJ721134 OVN721130:OVN721134 OLR721130:OLR721134 OBV721130:OBV721134 NRZ721130:NRZ721134 NID721130:NID721134 MYH721130:MYH721134 MOL721130:MOL721134 MEP721130:MEP721134 LUT721130:LUT721134 LKX721130:LKX721134 LBB721130:LBB721134 KRF721130:KRF721134 KHJ721130:KHJ721134 JXN721130:JXN721134 JNR721130:JNR721134 JDV721130:JDV721134 ITZ721130:ITZ721134 IKD721130:IKD721134 IAH721130:IAH721134 HQL721130:HQL721134 HGP721130:HGP721134 GWT721130:GWT721134 GMX721130:GMX721134 GDB721130:GDB721134 FTF721130:FTF721134 FJJ721130:FJJ721134 EZN721130:EZN721134 EPR721130:EPR721134 EFV721130:EFV721134 DVZ721130:DVZ721134 DMD721130:DMD721134 DCH721130:DCH721134 CSL721130:CSL721134 CIP721130:CIP721134 BYT721130:BYT721134 BOX721130:BOX721134 BFB721130:BFB721134 AVF721130:AVF721134 ALJ721130:ALJ721134 ABN721130:ABN721134 RR721130:RR721134 HV721130:HV721134 WUH655594:WUH655598 WKL655594:WKL655598 WAP655594:WAP655598 VQT655594:VQT655598 VGX655594:VGX655598 UXB655594:UXB655598 UNF655594:UNF655598 UDJ655594:UDJ655598 TTN655594:TTN655598 TJR655594:TJR655598 SZV655594:SZV655598 SPZ655594:SPZ655598 SGD655594:SGD655598 RWH655594:RWH655598 RML655594:RML655598 RCP655594:RCP655598 QST655594:QST655598 QIX655594:QIX655598 PZB655594:PZB655598 PPF655594:PPF655598 PFJ655594:PFJ655598 OVN655594:OVN655598 OLR655594:OLR655598 OBV655594:OBV655598 NRZ655594:NRZ655598 NID655594:NID655598 MYH655594:MYH655598 MOL655594:MOL655598 MEP655594:MEP655598 LUT655594:LUT655598 LKX655594:LKX655598 LBB655594:LBB655598 KRF655594:KRF655598 KHJ655594:KHJ655598 JXN655594:JXN655598 JNR655594:JNR655598 JDV655594:JDV655598 ITZ655594:ITZ655598 IKD655594:IKD655598 IAH655594:IAH655598 HQL655594:HQL655598 HGP655594:HGP655598 GWT655594:GWT655598 GMX655594:GMX655598 GDB655594:GDB655598 FTF655594:FTF655598 FJJ655594:FJJ655598 EZN655594:EZN655598 EPR655594:EPR655598 EFV655594:EFV655598 DVZ655594:DVZ655598 DMD655594:DMD655598 DCH655594:DCH655598 CSL655594:CSL655598 CIP655594:CIP655598 BYT655594:BYT655598 BOX655594:BOX655598 BFB655594:BFB655598 AVF655594:AVF655598 ALJ655594:ALJ655598 ABN655594:ABN655598 RR655594:RR655598 HV655594:HV655598 WUH590058:WUH590062 WKL590058:WKL590062 WAP590058:WAP590062 VQT590058:VQT590062 VGX590058:VGX590062 UXB590058:UXB590062 UNF590058:UNF590062 UDJ590058:UDJ590062 TTN590058:TTN590062 TJR590058:TJR590062 SZV590058:SZV590062 SPZ590058:SPZ590062 SGD590058:SGD590062 RWH590058:RWH590062 RML590058:RML590062 RCP590058:RCP590062 QST590058:QST590062 QIX590058:QIX590062 PZB590058:PZB590062 PPF590058:PPF590062 PFJ590058:PFJ590062 OVN590058:OVN590062 OLR590058:OLR590062 OBV590058:OBV590062 NRZ590058:NRZ590062 NID590058:NID590062 MYH590058:MYH590062 MOL590058:MOL590062 MEP590058:MEP590062 LUT590058:LUT590062 LKX590058:LKX590062 LBB590058:LBB590062 KRF590058:KRF590062 KHJ590058:KHJ590062 JXN590058:JXN590062 JNR590058:JNR590062 JDV590058:JDV590062 ITZ590058:ITZ590062 IKD590058:IKD590062 IAH590058:IAH590062 HQL590058:HQL590062 HGP590058:HGP590062 GWT590058:GWT590062 GMX590058:GMX590062 GDB590058:GDB590062 FTF590058:FTF590062 FJJ590058:FJJ590062 EZN590058:EZN590062 EPR590058:EPR590062 EFV590058:EFV590062 DVZ590058:DVZ590062 DMD590058:DMD590062 DCH590058:DCH590062 CSL590058:CSL590062 CIP590058:CIP590062 BYT590058:BYT590062 BOX590058:BOX590062 BFB590058:BFB590062 AVF590058:AVF590062 ALJ590058:ALJ590062 ABN590058:ABN590062 RR590058:RR590062 HV590058:HV590062 WUH524522:WUH524526 WKL524522:WKL524526 WAP524522:WAP524526 VQT524522:VQT524526 VGX524522:VGX524526 UXB524522:UXB524526 UNF524522:UNF524526 UDJ524522:UDJ524526 TTN524522:TTN524526 TJR524522:TJR524526 SZV524522:SZV524526 SPZ524522:SPZ524526 SGD524522:SGD524526 RWH524522:RWH524526 RML524522:RML524526 RCP524522:RCP524526 QST524522:QST524526 QIX524522:QIX524526 PZB524522:PZB524526 PPF524522:PPF524526 PFJ524522:PFJ524526 OVN524522:OVN524526 OLR524522:OLR524526 OBV524522:OBV524526 NRZ524522:NRZ524526 NID524522:NID524526 MYH524522:MYH524526 MOL524522:MOL524526 MEP524522:MEP524526 LUT524522:LUT524526 LKX524522:LKX524526 LBB524522:LBB524526 KRF524522:KRF524526 KHJ524522:KHJ524526 JXN524522:JXN524526 JNR524522:JNR524526 JDV524522:JDV524526 ITZ524522:ITZ524526 IKD524522:IKD524526 IAH524522:IAH524526 HQL524522:HQL524526 HGP524522:HGP524526 GWT524522:GWT524526 GMX524522:GMX524526 GDB524522:GDB524526 FTF524522:FTF524526 FJJ524522:FJJ524526 EZN524522:EZN524526 EPR524522:EPR524526 EFV524522:EFV524526 DVZ524522:DVZ524526 DMD524522:DMD524526 DCH524522:DCH524526 CSL524522:CSL524526 CIP524522:CIP524526 BYT524522:BYT524526 BOX524522:BOX524526 BFB524522:BFB524526 AVF524522:AVF524526 ALJ524522:ALJ524526 ABN524522:ABN524526 RR524522:RR524526 HV524522:HV524526 WUH458986:WUH458990 WKL458986:WKL458990 WAP458986:WAP458990 VQT458986:VQT458990 VGX458986:VGX458990 UXB458986:UXB458990 UNF458986:UNF458990 UDJ458986:UDJ458990 TTN458986:TTN458990 TJR458986:TJR458990 SZV458986:SZV458990 SPZ458986:SPZ458990 SGD458986:SGD458990 RWH458986:RWH458990 RML458986:RML458990 RCP458986:RCP458990 QST458986:QST458990 QIX458986:QIX458990 PZB458986:PZB458990 PPF458986:PPF458990 PFJ458986:PFJ458990 OVN458986:OVN458990 OLR458986:OLR458990 OBV458986:OBV458990 NRZ458986:NRZ458990 NID458986:NID458990 MYH458986:MYH458990 MOL458986:MOL458990 MEP458986:MEP458990 LUT458986:LUT458990 LKX458986:LKX458990 LBB458986:LBB458990 KRF458986:KRF458990 KHJ458986:KHJ458990 JXN458986:JXN458990 JNR458986:JNR458990 JDV458986:JDV458990 ITZ458986:ITZ458990 IKD458986:IKD458990 IAH458986:IAH458990 HQL458986:HQL458990 HGP458986:HGP458990 GWT458986:GWT458990 GMX458986:GMX458990 GDB458986:GDB458990 FTF458986:FTF458990 FJJ458986:FJJ458990 EZN458986:EZN458990 EPR458986:EPR458990 EFV458986:EFV458990 DVZ458986:DVZ458990 DMD458986:DMD458990 DCH458986:DCH458990 CSL458986:CSL458990 CIP458986:CIP458990 BYT458986:BYT458990 BOX458986:BOX458990 BFB458986:BFB458990 AVF458986:AVF458990 ALJ458986:ALJ458990 ABN458986:ABN458990 RR458986:RR458990 HV458986:HV458990 WUH393450:WUH393454 WKL393450:WKL393454 WAP393450:WAP393454 VQT393450:VQT393454 VGX393450:VGX393454 UXB393450:UXB393454 UNF393450:UNF393454 UDJ393450:UDJ393454 TTN393450:TTN393454 TJR393450:TJR393454 SZV393450:SZV393454 SPZ393450:SPZ393454 SGD393450:SGD393454 RWH393450:RWH393454 RML393450:RML393454 RCP393450:RCP393454 QST393450:QST393454 QIX393450:QIX393454 PZB393450:PZB393454 PPF393450:PPF393454 PFJ393450:PFJ393454 OVN393450:OVN393454 OLR393450:OLR393454 OBV393450:OBV393454 NRZ393450:NRZ393454 NID393450:NID393454 MYH393450:MYH393454 MOL393450:MOL393454 MEP393450:MEP393454 LUT393450:LUT393454 LKX393450:LKX393454 LBB393450:LBB393454 KRF393450:KRF393454 KHJ393450:KHJ393454 JXN393450:JXN393454 JNR393450:JNR393454 JDV393450:JDV393454 ITZ393450:ITZ393454 IKD393450:IKD393454 IAH393450:IAH393454 HQL393450:HQL393454 HGP393450:HGP393454 GWT393450:GWT393454 GMX393450:GMX393454 GDB393450:GDB393454 FTF393450:FTF393454 FJJ393450:FJJ393454 EZN393450:EZN393454 EPR393450:EPR393454 EFV393450:EFV393454 DVZ393450:DVZ393454 DMD393450:DMD393454 DCH393450:DCH393454 CSL393450:CSL393454 CIP393450:CIP393454 BYT393450:BYT393454 BOX393450:BOX393454 BFB393450:BFB393454 AVF393450:AVF393454 ALJ393450:ALJ393454 ABN393450:ABN393454 RR393450:RR393454 HV393450:HV393454 WUH327914:WUH327918 WKL327914:WKL327918 WAP327914:WAP327918 VQT327914:VQT327918 VGX327914:VGX327918 UXB327914:UXB327918 UNF327914:UNF327918 UDJ327914:UDJ327918 TTN327914:TTN327918 TJR327914:TJR327918 SZV327914:SZV327918 SPZ327914:SPZ327918 SGD327914:SGD327918 RWH327914:RWH327918 RML327914:RML327918 RCP327914:RCP327918 QST327914:QST327918 QIX327914:QIX327918 PZB327914:PZB327918 PPF327914:PPF327918 PFJ327914:PFJ327918 OVN327914:OVN327918 OLR327914:OLR327918 OBV327914:OBV327918 NRZ327914:NRZ327918 NID327914:NID327918 MYH327914:MYH327918 MOL327914:MOL327918 MEP327914:MEP327918 LUT327914:LUT327918 LKX327914:LKX327918 LBB327914:LBB327918 KRF327914:KRF327918 KHJ327914:KHJ327918 JXN327914:JXN327918 JNR327914:JNR327918 JDV327914:JDV327918 ITZ327914:ITZ327918 IKD327914:IKD327918 IAH327914:IAH327918 HQL327914:HQL327918 HGP327914:HGP327918 GWT327914:GWT327918 GMX327914:GMX327918 GDB327914:GDB327918 FTF327914:FTF327918 FJJ327914:FJJ327918 EZN327914:EZN327918 EPR327914:EPR327918 EFV327914:EFV327918 DVZ327914:DVZ327918 DMD327914:DMD327918 DCH327914:DCH327918 CSL327914:CSL327918 CIP327914:CIP327918 BYT327914:BYT327918 BOX327914:BOX327918 BFB327914:BFB327918 AVF327914:AVF327918 ALJ327914:ALJ327918 ABN327914:ABN327918 RR327914:RR327918 HV327914:HV327918 WUH262378:WUH262382 WKL262378:WKL262382 WAP262378:WAP262382 VQT262378:VQT262382 VGX262378:VGX262382 UXB262378:UXB262382 UNF262378:UNF262382 UDJ262378:UDJ262382 TTN262378:TTN262382 TJR262378:TJR262382 SZV262378:SZV262382 SPZ262378:SPZ262382 SGD262378:SGD262382 RWH262378:RWH262382 RML262378:RML262382 RCP262378:RCP262382 QST262378:QST262382 QIX262378:QIX262382 PZB262378:PZB262382 PPF262378:PPF262382 PFJ262378:PFJ262382 OVN262378:OVN262382 OLR262378:OLR262382 OBV262378:OBV262382 NRZ262378:NRZ262382 NID262378:NID262382 MYH262378:MYH262382 MOL262378:MOL262382 MEP262378:MEP262382 LUT262378:LUT262382 LKX262378:LKX262382 LBB262378:LBB262382 KRF262378:KRF262382 KHJ262378:KHJ262382 JXN262378:JXN262382 JNR262378:JNR262382 JDV262378:JDV262382 ITZ262378:ITZ262382 IKD262378:IKD262382 IAH262378:IAH262382 HQL262378:HQL262382 HGP262378:HGP262382 GWT262378:GWT262382 GMX262378:GMX262382 GDB262378:GDB262382 FTF262378:FTF262382 FJJ262378:FJJ262382 EZN262378:EZN262382 EPR262378:EPR262382 EFV262378:EFV262382 DVZ262378:DVZ262382 DMD262378:DMD262382 DCH262378:DCH262382 CSL262378:CSL262382 CIP262378:CIP262382 BYT262378:BYT262382 BOX262378:BOX262382 BFB262378:BFB262382 AVF262378:AVF262382 ALJ262378:ALJ262382 ABN262378:ABN262382 RR262378:RR262382 HV262378:HV262382 WUH196842:WUH196846 WKL196842:WKL196846 WAP196842:WAP196846 VQT196842:VQT196846 VGX196842:VGX196846 UXB196842:UXB196846 UNF196842:UNF196846 UDJ196842:UDJ196846 TTN196842:TTN196846 TJR196842:TJR196846 SZV196842:SZV196846 SPZ196842:SPZ196846 SGD196842:SGD196846 RWH196842:RWH196846 RML196842:RML196846 RCP196842:RCP196846 QST196842:QST196846 QIX196842:QIX196846 PZB196842:PZB196846 PPF196842:PPF196846 PFJ196842:PFJ196846 OVN196842:OVN196846 OLR196842:OLR196846 OBV196842:OBV196846 NRZ196842:NRZ196846 NID196842:NID196846 MYH196842:MYH196846 MOL196842:MOL196846 MEP196842:MEP196846 LUT196842:LUT196846 LKX196842:LKX196846 LBB196842:LBB196846 KRF196842:KRF196846 KHJ196842:KHJ196846 JXN196842:JXN196846 JNR196842:JNR196846 JDV196842:JDV196846 ITZ196842:ITZ196846 IKD196842:IKD196846 IAH196842:IAH196846 HQL196842:HQL196846 HGP196842:HGP196846 GWT196842:GWT196846 GMX196842:GMX196846 GDB196842:GDB196846 FTF196842:FTF196846 FJJ196842:FJJ196846 EZN196842:EZN196846 EPR196842:EPR196846 EFV196842:EFV196846 DVZ196842:DVZ196846 DMD196842:DMD196846 DCH196842:DCH196846 CSL196842:CSL196846 CIP196842:CIP196846 BYT196842:BYT196846 BOX196842:BOX196846 BFB196842:BFB196846 AVF196842:AVF196846 ALJ196842:ALJ196846 ABN196842:ABN196846 RR196842:RR196846 HV196842:HV196846 WUH131306:WUH131310 WKL131306:WKL131310 WAP131306:WAP131310 VQT131306:VQT131310 VGX131306:VGX131310 UXB131306:UXB131310 UNF131306:UNF131310 UDJ131306:UDJ131310 TTN131306:TTN131310 TJR131306:TJR131310 SZV131306:SZV131310 SPZ131306:SPZ131310 SGD131306:SGD131310 RWH131306:RWH131310 RML131306:RML131310 RCP131306:RCP131310 QST131306:QST131310 QIX131306:QIX131310 PZB131306:PZB131310 PPF131306:PPF131310 PFJ131306:PFJ131310 OVN131306:OVN131310 OLR131306:OLR131310 OBV131306:OBV131310 NRZ131306:NRZ131310 NID131306:NID131310 MYH131306:MYH131310 MOL131306:MOL131310 MEP131306:MEP131310 LUT131306:LUT131310 LKX131306:LKX131310 LBB131306:LBB131310 KRF131306:KRF131310 KHJ131306:KHJ131310 JXN131306:JXN131310 JNR131306:JNR131310 JDV131306:JDV131310 ITZ131306:ITZ131310 IKD131306:IKD131310 IAH131306:IAH131310 HQL131306:HQL131310 HGP131306:HGP131310 GWT131306:GWT131310 GMX131306:GMX131310 GDB131306:GDB131310 FTF131306:FTF131310 FJJ131306:FJJ131310 EZN131306:EZN131310 EPR131306:EPR131310 EFV131306:EFV131310 DVZ131306:DVZ131310 DMD131306:DMD131310 DCH131306:DCH131310 CSL131306:CSL131310 CIP131306:CIP131310 BYT131306:BYT131310 BOX131306:BOX131310 BFB131306:BFB131310 AVF131306:AVF131310 ALJ131306:ALJ131310 ABN131306:ABN131310 RR131306:RR131310 HV131306:HV131310 WUH65770:WUH65774 WKL65770:WKL65774 WAP65770:WAP65774 VQT65770:VQT65774 VGX65770:VGX65774 UXB65770:UXB65774 UNF65770:UNF65774 UDJ65770:UDJ65774 TTN65770:TTN65774 TJR65770:TJR65774 SZV65770:SZV65774 SPZ65770:SPZ65774 SGD65770:SGD65774 RWH65770:RWH65774 RML65770:RML65774 RCP65770:RCP65774 QST65770:QST65774 QIX65770:QIX65774 PZB65770:PZB65774 PPF65770:PPF65774 PFJ65770:PFJ65774 OVN65770:OVN65774 OLR65770:OLR65774 OBV65770:OBV65774 NRZ65770:NRZ65774 NID65770:NID65774 MYH65770:MYH65774 MOL65770:MOL65774 MEP65770:MEP65774 LUT65770:LUT65774 LKX65770:LKX65774 LBB65770:LBB65774 KRF65770:KRF65774 KHJ65770:KHJ65774 JXN65770:JXN65774 JNR65770:JNR65774 JDV65770:JDV65774 ITZ65770:ITZ65774 IKD65770:IKD65774 IAH65770:IAH65774 HQL65770:HQL65774 HGP65770:HGP65774 GWT65770:GWT65774 GMX65770:GMX65774 GDB65770:GDB65774 FTF65770:FTF65774 FJJ65770:FJJ65774 EZN65770:EZN65774 EPR65770:EPR65774 EFV65770:EFV65774 DVZ65770:DVZ65774 DMD65770:DMD65774 DCH65770:DCH65774 CSL65770:CSL65774 CIP65770:CIP65774 BYT65770:BYT65774 BOX65770:BOX65774 BFB65770:BFB65774 AVF65770:AVF65774 ALJ65770:ALJ65774 ABN65770:ABN65774 RR65770:RR65774 HV65770:HV65774 WUH982557 WKL982557 WAP982557 VQT982557 VGX982557 UXB982557 UNF982557 UDJ982557 TTN982557 TJR982557 SZV982557 SPZ982557 SGD982557 RWH982557 RML982557 RCP982557 QST982557 QIX982557 PZB982557 PPF982557 PFJ982557 OVN982557 OLR982557 OBV982557 NRZ982557 NID982557 MYH982557 MOL982557 MEP982557 LUT982557 LKX982557 LBB982557 KRF982557 KHJ982557 JXN982557 JNR982557 JDV982557 ITZ982557 IKD982557 IAH982557 HQL982557 HGP982557 GWT982557 GMX982557 GDB982557 FTF982557 FJJ982557 EZN982557 EPR982557 EFV982557 DVZ982557 DMD982557 DCH982557 CSL982557 CIP982557 BYT982557 BOX982557 BFB982557 AVF982557 ALJ982557 ABN982557 RR982557 HV982557 WUH917021 WKL917021 WAP917021 VQT917021 VGX917021 UXB917021 UNF917021 UDJ917021 TTN917021 TJR917021 SZV917021 SPZ917021 SGD917021 RWH917021 RML917021 RCP917021 QST917021 QIX917021 PZB917021 PPF917021 PFJ917021 OVN917021 OLR917021 OBV917021 NRZ917021 NID917021 MYH917021 MOL917021 MEP917021 LUT917021 LKX917021 LBB917021 KRF917021 KHJ917021 JXN917021 JNR917021 JDV917021 ITZ917021 IKD917021 IAH917021 HQL917021 HGP917021 GWT917021 GMX917021 GDB917021 FTF917021 FJJ917021 EZN917021 EPR917021 EFV917021 DVZ917021 DMD917021 DCH917021 CSL917021 CIP917021 BYT917021 BOX917021 BFB917021 AVF917021 ALJ917021 ABN917021 RR917021 HV917021 WUH851485 WKL851485 WAP851485 VQT851485 VGX851485 UXB851485 UNF851485 UDJ851485 TTN851485 TJR851485 SZV851485 SPZ851485 SGD851485 RWH851485 RML851485 RCP851485 QST851485 QIX851485 PZB851485 PPF851485 PFJ851485 OVN851485 OLR851485 OBV851485 NRZ851485 NID851485 MYH851485 MOL851485 MEP851485 LUT851485 LKX851485 LBB851485 KRF851485 KHJ851485 JXN851485 JNR851485 JDV851485 ITZ851485 IKD851485 IAH851485 HQL851485 HGP851485 GWT851485 GMX851485 GDB851485 FTF851485 FJJ851485 EZN851485 EPR851485 EFV851485 DVZ851485 DMD851485 DCH851485 CSL851485 CIP851485 BYT851485 BOX851485 BFB851485 AVF851485 ALJ851485 ABN851485 RR851485 HV851485 WUH785949 WKL785949 WAP785949 VQT785949 VGX785949 UXB785949 UNF785949 UDJ785949 TTN785949 TJR785949 SZV785949 SPZ785949 SGD785949 RWH785949 RML785949 RCP785949 QST785949 QIX785949 PZB785949 PPF785949 PFJ785949 OVN785949 OLR785949 OBV785949 NRZ785949 NID785949 MYH785949 MOL785949 MEP785949 LUT785949 LKX785949 LBB785949 KRF785949 KHJ785949 JXN785949 JNR785949 JDV785949 ITZ785949 IKD785949 IAH785949 HQL785949 HGP785949 GWT785949 GMX785949 GDB785949 FTF785949 FJJ785949 EZN785949 EPR785949 EFV785949 DVZ785949 DMD785949 DCH785949 CSL785949 CIP785949 BYT785949 BOX785949 BFB785949 AVF785949 ALJ785949 ABN785949 RR785949 HV785949 WUH720413 WKL720413 WAP720413 VQT720413 VGX720413 UXB720413 UNF720413 UDJ720413 TTN720413 TJR720413 SZV720413 SPZ720413 SGD720413 RWH720413 RML720413 RCP720413 QST720413 QIX720413 PZB720413 PPF720413 PFJ720413 OVN720413 OLR720413 OBV720413 NRZ720413 NID720413 MYH720413 MOL720413 MEP720413 LUT720413 LKX720413 LBB720413 KRF720413 KHJ720413 JXN720413 JNR720413 JDV720413 ITZ720413 IKD720413 IAH720413 HQL720413 HGP720413 GWT720413 GMX720413 GDB720413 FTF720413 FJJ720413 EZN720413 EPR720413 EFV720413 DVZ720413 DMD720413 DCH720413 CSL720413 CIP720413 BYT720413 BOX720413 BFB720413 AVF720413 ALJ720413 ABN720413 RR720413 HV720413 WUH654877 WKL654877 WAP654877 VQT654877 VGX654877 UXB654877 UNF654877 UDJ654877 TTN654877 TJR654877 SZV654877 SPZ654877 SGD654877 RWH654877 RML654877 RCP654877 QST654877 QIX654877 PZB654877 PPF654877 PFJ654877 OVN654877 OLR654877 OBV654877 NRZ654877 NID654877 MYH654877 MOL654877 MEP654877 LUT654877 LKX654877 LBB654877 KRF654877 KHJ654877 JXN654877 JNR654877 JDV654877 ITZ654877 IKD654877 IAH654877 HQL654877 HGP654877 GWT654877 GMX654877 GDB654877 FTF654877 FJJ654877 EZN654877 EPR654877 EFV654877 DVZ654877 DMD654877 DCH654877 CSL654877 CIP654877 BYT654877 BOX654877 BFB654877 AVF654877 ALJ654877 ABN654877 RR654877 HV654877 WUH589341 WKL589341 WAP589341 VQT589341 VGX589341 UXB589341 UNF589341 UDJ589341 TTN589341 TJR589341 SZV589341 SPZ589341 SGD589341 RWH589341 RML589341 RCP589341 QST589341 QIX589341 PZB589341 PPF589341 PFJ589341 OVN589341 OLR589341 OBV589341 NRZ589341 NID589341 MYH589341 MOL589341 MEP589341 LUT589341 LKX589341 LBB589341 KRF589341 KHJ589341 JXN589341 JNR589341 JDV589341 ITZ589341 IKD589341 IAH589341 HQL589341 HGP589341 GWT589341 GMX589341 GDB589341 FTF589341 FJJ589341 EZN589341 EPR589341 EFV589341 DVZ589341 DMD589341 DCH589341 CSL589341 CIP589341 BYT589341 BOX589341 BFB589341 AVF589341 ALJ589341 ABN589341 RR589341 HV589341 WUH523805 WKL523805 WAP523805 VQT523805 VGX523805 UXB523805 UNF523805 UDJ523805 TTN523805 TJR523805 SZV523805 SPZ523805 SGD523805 RWH523805 RML523805 RCP523805 QST523805 QIX523805 PZB523805 PPF523805 PFJ523805 OVN523805 OLR523805 OBV523805 NRZ523805 NID523805 MYH523805 MOL523805 MEP523805 LUT523805 LKX523805 LBB523805 KRF523805 KHJ523805 JXN523805 JNR523805 JDV523805 ITZ523805 IKD523805 IAH523805 HQL523805 HGP523805 GWT523805 GMX523805 GDB523805 FTF523805 FJJ523805 EZN523805 EPR523805 EFV523805 DVZ523805 DMD523805 DCH523805 CSL523805 CIP523805 BYT523805 BOX523805 BFB523805 AVF523805 ALJ523805 ABN523805 RR523805 HV523805 WUH458269 WKL458269 WAP458269 VQT458269 VGX458269 UXB458269 UNF458269 UDJ458269 TTN458269 TJR458269 SZV458269 SPZ458269 SGD458269 RWH458269 RML458269 RCP458269 QST458269 QIX458269 PZB458269 PPF458269 PFJ458269 OVN458269 OLR458269 OBV458269 NRZ458269 NID458269 MYH458269 MOL458269 MEP458269 LUT458269 LKX458269 LBB458269 KRF458269 KHJ458269 JXN458269 JNR458269 JDV458269 ITZ458269 IKD458269 IAH458269 HQL458269 HGP458269 GWT458269 GMX458269 GDB458269 FTF458269 FJJ458269 EZN458269 EPR458269 EFV458269 DVZ458269 DMD458269 DCH458269 CSL458269 CIP458269 BYT458269 BOX458269 BFB458269 AVF458269 ALJ458269 ABN458269 RR458269 HV458269 WUH392733 WKL392733 WAP392733 VQT392733 VGX392733 UXB392733 UNF392733 UDJ392733 TTN392733 TJR392733 SZV392733 SPZ392733 SGD392733 RWH392733 RML392733 RCP392733 QST392733 QIX392733 PZB392733 PPF392733 PFJ392733 OVN392733 OLR392733 OBV392733 NRZ392733 NID392733 MYH392733 MOL392733 MEP392733 LUT392733 LKX392733 LBB392733 KRF392733 KHJ392733 JXN392733 JNR392733 JDV392733 ITZ392733 IKD392733 IAH392733 HQL392733 HGP392733 GWT392733 GMX392733 GDB392733 FTF392733 FJJ392733 EZN392733 EPR392733 EFV392733 DVZ392733 DMD392733 DCH392733 CSL392733 CIP392733 BYT392733 BOX392733 BFB392733 AVF392733 ALJ392733 ABN392733 RR392733 HV392733 WUH327197 WKL327197 WAP327197 VQT327197 VGX327197 UXB327197 UNF327197 UDJ327197 TTN327197 TJR327197 SZV327197 SPZ327197 SGD327197 RWH327197 RML327197 RCP327197 QST327197 QIX327197 PZB327197 PPF327197 PFJ327197 OVN327197 OLR327197 OBV327197 NRZ327197 NID327197 MYH327197 MOL327197 MEP327197 LUT327197 LKX327197 LBB327197 KRF327197 KHJ327197 JXN327197 JNR327197 JDV327197 ITZ327197 IKD327197 IAH327197 HQL327197 HGP327197 GWT327197 GMX327197 GDB327197 FTF327197 FJJ327197 EZN327197 EPR327197 EFV327197 DVZ327197 DMD327197 DCH327197 CSL327197 CIP327197 BYT327197 BOX327197 BFB327197 AVF327197 ALJ327197 ABN327197 RR327197 HV327197 WUH261661 WKL261661 WAP261661 VQT261661 VGX261661 UXB261661 UNF261661 UDJ261661 TTN261661 TJR261661 SZV261661 SPZ261661 SGD261661 RWH261661 RML261661 RCP261661 QST261661 QIX261661 PZB261661 PPF261661 PFJ261661 OVN261661 OLR261661 OBV261661 NRZ261661 NID261661 MYH261661 MOL261661 MEP261661 LUT261661 LKX261661 LBB261661 KRF261661 KHJ261661 JXN261661 JNR261661 JDV261661 ITZ261661 IKD261661 IAH261661 HQL261661 HGP261661 GWT261661 GMX261661 GDB261661 FTF261661 FJJ261661 EZN261661 EPR261661 EFV261661 DVZ261661 DMD261661 DCH261661 CSL261661 CIP261661 BYT261661 BOX261661 BFB261661 AVF261661 ALJ261661 ABN261661 RR261661 HV261661 WUH196125 WKL196125 WAP196125 VQT196125 VGX196125 UXB196125 UNF196125 UDJ196125 TTN196125 TJR196125 SZV196125 SPZ196125 SGD196125 RWH196125 RML196125 RCP196125 QST196125 QIX196125 PZB196125 PPF196125 PFJ196125 OVN196125 OLR196125 OBV196125 NRZ196125 NID196125 MYH196125 MOL196125 MEP196125 LUT196125 LKX196125 LBB196125 KRF196125 KHJ196125 JXN196125 JNR196125 JDV196125 ITZ196125 IKD196125 IAH196125 HQL196125 HGP196125 GWT196125 GMX196125 GDB196125 FTF196125 FJJ196125 EZN196125 EPR196125 EFV196125 DVZ196125 DMD196125 DCH196125 CSL196125 CIP196125 BYT196125 BOX196125 BFB196125 AVF196125 ALJ196125 ABN196125 RR196125 HV196125 WUH130589 WKL130589 WAP130589 VQT130589 VGX130589 UXB130589 UNF130589 UDJ130589 TTN130589 TJR130589 SZV130589 SPZ130589 SGD130589 RWH130589 RML130589 RCP130589 QST130589 QIX130589 PZB130589 PPF130589 PFJ130589 OVN130589 OLR130589 OBV130589 NRZ130589 NID130589 MYH130589 MOL130589 MEP130589 LUT130589 LKX130589 LBB130589 KRF130589 KHJ130589 JXN130589 JNR130589 JDV130589 ITZ130589 IKD130589 IAH130589 HQL130589 HGP130589 GWT130589 GMX130589 GDB130589 FTF130589 FJJ130589 EZN130589 EPR130589 EFV130589 DVZ130589 DMD130589 DCH130589 CSL130589 CIP130589 BYT130589 BOX130589 BFB130589 AVF130589 ALJ130589 ABN130589 RR130589 HV130589 WUH65053 WKL65053 WAP65053 VQT65053 VGX65053 UXB65053 UNF65053 UDJ65053 TTN65053 TJR65053 SZV65053 SPZ65053 SGD65053 RWH65053 RML65053 RCP65053 QST65053 QIX65053 PZB65053 PPF65053 PFJ65053 OVN65053 OLR65053 OBV65053 NRZ65053 NID65053 MYH65053 MOL65053 MEP65053 LUT65053 LKX65053 LBB65053 KRF65053 KHJ65053 JXN65053 JNR65053 JDV65053 ITZ65053 IKD65053 IAH65053 HQL65053 HGP65053 GWT65053 GMX65053 GDB65053 FTF65053 FJJ65053 EZN65053 EPR65053 EFV65053 DVZ65053 DMD65053 DCH65053 CSL65053 CIP65053 BYT65053 BOX65053 BFB65053 AVF65053 ALJ65053 ABN65053 RR65053 HV65053 WUH982602 WKL982602 WAP982602 VQT982602 VGX982602 UXB982602 UNF982602 UDJ982602 TTN982602 TJR982602 SZV982602 SPZ982602 SGD982602 RWH982602 RML982602 RCP982602 QST982602 QIX982602 PZB982602 PPF982602 PFJ982602 OVN982602 OLR982602 OBV982602 NRZ982602 NID982602 MYH982602 MOL982602 MEP982602 LUT982602 LKX982602 LBB982602 KRF982602 KHJ982602 JXN982602 JNR982602 JDV982602 ITZ982602 IKD982602 IAH982602 HQL982602 HGP982602 GWT982602 GMX982602 GDB982602 FTF982602 FJJ982602 EZN982602 EPR982602 EFV982602 DVZ982602 DMD982602 DCH982602 CSL982602 CIP982602 BYT982602 BOX982602 BFB982602 AVF982602 ALJ982602 ABN982602 RR982602 HV982602 WUH917066 WKL917066 WAP917066 VQT917066 VGX917066 UXB917066 UNF917066 UDJ917066 TTN917066 TJR917066 SZV917066 SPZ917066 SGD917066 RWH917066 RML917066 RCP917066 QST917066 QIX917066 PZB917066 PPF917066 PFJ917066 OVN917066 OLR917066 OBV917066 NRZ917066 NID917066 MYH917066 MOL917066 MEP917066 LUT917066 LKX917066 LBB917066 KRF917066 KHJ917066 JXN917066 JNR917066 JDV917066 ITZ917066 IKD917066 IAH917066 HQL917066 HGP917066 GWT917066 GMX917066 GDB917066 FTF917066 FJJ917066 EZN917066 EPR917066 EFV917066 DVZ917066 DMD917066 DCH917066 CSL917066 CIP917066 BYT917066 BOX917066 BFB917066 AVF917066 ALJ917066 ABN917066 RR917066 HV917066 WUH851530 WKL851530 WAP851530 VQT851530 VGX851530 UXB851530 UNF851530 UDJ851530 TTN851530 TJR851530 SZV851530 SPZ851530 SGD851530 RWH851530 RML851530 RCP851530 QST851530 QIX851530 PZB851530 PPF851530 PFJ851530 OVN851530 OLR851530 OBV851530 NRZ851530 NID851530 MYH851530 MOL851530 MEP851530 LUT851530 LKX851530 LBB851530 KRF851530 KHJ851530 JXN851530 JNR851530 JDV851530 ITZ851530 IKD851530 IAH851530 HQL851530 HGP851530 GWT851530 GMX851530 GDB851530 FTF851530 FJJ851530 EZN851530 EPR851530 EFV851530 DVZ851530 DMD851530 DCH851530 CSL851530 CIP851530 BYT851530 BOX851530 BFB851530 AVF851530 ALJ851530 ABN851530 RR851530 HV851530 WUH785994 WKL785994 WAP785994 VQT785994 VGX785994 UXB785994 UNF785994 UDJ785994 TTN785994 TJR785994 SZV785994 SPZ785994 SGD785994 RWH785994 RML785994 RCP785994 QST785994 QIX785994 PZB785994 PPF785994 PFJ785994 OVN785994 OLR785994 OBV785994 NRZ785994 NID785994 MYH785994 MOL785994 MEP785994 LUT785994 LKX785994 LBB785994 KRF785994 KHJ785994 JXN785994 JNR785994 JDV785994 ITZ785994 IKD785994 IAH785994 HQL785994 HGP785994 GWT785994 GMX785994 GDB785994 FTF785994 FJJ785994 EZN785994 EPR785994 EFV785994 DVZ785994 DMD785994 DCH785994 CSL785994 CIP785994 BYT785994 BOX785994 BFB785994 AVF785994 ALJ785994 ABN785994 RR785994 HV785994 WUH720458 WKL720458 WAP720458 VQT720458 VGX720458 UXB720458 UNF720458 UDJ720458 TTN720458 TJR720458 SZV720458 SPZ720458 SGD720458 RWH720458 RML720458 RCP720458 QST720458 QIX720458 PZB720458 PPF720458 PFJ720458 OVN720458 OLR720458 OBV720458 NRZ720458 NID720458 MYH720458 MOL720458 MEP720458 LUT720458 LKX720458 LBB720458 KRF720458 KHJ720458 JXN720458 JNR720458 JDV720458 ITZ720458 IKD720458 IAH720458 HQL720458 HGP720458 GWT720458 GMX720458 GDB720458 FTF720458 FJJ720458 EZN720458 EPR720458 EFV720458 DVZ720458 DMD720458 DCH720458 CSL720458 CIP720458 BYT720458 BOX720458 BFB720458 AVF720458 ALJ720458 ABN720458 RR720458 HV720458 WUH654922 WKL654922 WAP654922 VQT654922 VGX654922 UXB654922 UNF654922 UDJ654922 TTN654922 TJR654922 SZV654922 SPZ654922 SGD654922 RWH654922 RML654922 RCP654922 QST654922 QIX654922 PZB654922 PPF654922 PFJ654922 OVN654922 OLR654922 OBV654922 NRZ654922 NID654922 MYH654922 MOL654922 MEP654922 LUT654922 LKX654922 LBB654922 KRF654922 KHJ654922 JXN654922 JNR654922 JDV654922 ITZ654922 IKD654922 IAH654922 HQL654922 HGP654922 GWT654922 GMX654922 GDB654922 FTF654922 FJJ654922 EZN654922 EPR654922 EFV654922 DVZ654922 DMD654922 DCH654922 CSL654922 CIP654922 BYT654922 BOX654922 BFB654922 AVF654922 ALJ654922 ABN654922 RR654922 HV654922 WUH589386 WKL589386 WAP589386 VQT589386 VGX589386 UXB589386 UNF589386 UDJ589386 TTN589386 TJR589386 SZV589386 SPZ589386 SGD589386 RWH589386 RML589386 RCP589386 QST589386 QIX589386 PZB589386 PPF589386 PFJ589386 OVN589386 OLR589386 OBV589386 NRZ589386 NID589386 MYH589386 MOL589386 MEP589386 LUT589386 LKX589386 LBB589386 KRF589386 KHJ589386 JXN589386 JNR589386 JDV589386 ITZ589386 IKD589386 IAH589386 HQL589386 HGP589386 GWT589386 GMX589386 GDB589386 FTF589386 FJJ589386 EZN589386 EPR589386 EFV589386 DVZ589386 DMD589386 DCH589386 CSL589386 CIP589386 BYT589386 BOX589386 BFB589386 AVF589386 ALJ589386 ABN589386 RR589386 HV589386 WUH523850 WKL523850 WAP523850 VQT523850 VGX523850 UXB523850 UNF523850 UDJ523850 TTN523850 TJR523850 SZV523850 SPZ523850 SGD523850 RWH523850 RML523850 RCP523850 QST523850 QIX523850 PZB523850 PPF523850 PFJ523850 OVN523850 OLR523850 OBV523850 NRZ523850 NID523850 MYH523850 MOL523850 MEP523850 LUT523850 LKX523850 LBB523850 KRF523850 KHJ523850 JXN523850 JNR523850 JDV523850 ITZ523850 IKD523850 IAH523850 HQL523850 HGP523850 GWT523850 GMX523850 GDB523850 FTF523850 FJJ523850 EZN523850 EPR523850 EFV523850 DVZ523850 DMD523850 DCH523850 CSL523850 CIP523850 BYT523850 BOX523850 BFB523850 AVF523850 ALJ523850 ABN523850 RR523850 HV523850 WUH458314 WKL458314 WAP458314 VQT458314 VGX458314 UXB458314 UNF458314 UDJ458314 TTN458314 TJR458314 SZV458314 SPZ458314 SGD458314 RWH458314 RML458314 RCP458314 QST458314 QIX458314 PZB458314 PPF458314 PFJ458314 OVN458314 OLR458314 OBV458314 NRZ458314 NID458314 MYH458314 MOL458314 MEP458314 LUT458314 LKX458314 LBB458314 KRF458314 KHJ458314 JXN458314 JNR458314 JDV458314 ITZ458314 IKD458314 IAH458314 HQL458314 HGP458314 GWT458314 GMX458314 GDB458314 FTF458314 FJJ458314 EZN458314 EPR458314 EFV458314 DVZ458314 DMD458314 DCH458314 CSL458314 CIP458314 BYT458314 BOX458314 BFB458314 AVF458314 ALJ458314 ABN458314 RR458314 HV458314 WUH392778 WKL392778 WAP392778 VQT392778 VGX392778 UXB392778 UNF392778 UDJ392778 TTN392778 TJR392778 SZV392778 SPZ392778 SGD392778 RWH392778 RML392778 RCP392778 QST392778 QIX392778 PZB392778 PPF392778 PFJ392778 OVN392778 OLR392778 OBV392778 NRZ392778 NID392778 MYH392778 MOL392778 MEP392778 LUT392778 LKX392778 LBB392778 KRF392778 KHJ392778 JXN392778 JNR392778 JDV392778 ITZ392778 IKD392778 IAH392778 HQL392778 HGP392778 GWT392778 GMX392778 GDB392778 FTF392778 FJJ392778 EZN392778 EPR392778 EFV392778 DVZ392778 DMD392778 DCH392778 CSL392778 CIP392778 BYT392778 BOX392778 BFB392778 AVF392778 ALJ392778 ABN392778 RR392778 HV392778 WUH327242 WKL327242 WAP327242 VQT327242 VGX327242 UXB327242 UNF327242 UDJ327242 TTN327242 TJR327242 SZV327242 SPZ327242 SGD327242 RWH327242 RML327242 RCP327242 QST327242 QIX327242 PZB327242 PPF327242 PFJ327242 OVN327242 OLR327242 OBV327242 NRZ327242 NID327242 MYH327242 MOL327242 MEP327242 LUT327242 LKX327242 LBB327242 KRF327242 KHJ327242 JXN327242 JNR327242 JDV327242 ITZ327242 IKD327242 IAH327242 HQL327242 HGP327242 GWT327242 GMX327242 GDB327242 FTF327242 FJJ327242 EZN327242 EPR327242 EFV327242 DVZ327242 DMD327242 DCH327242 CSL327242 CIP327242 BYT327242 BOX327242 BFB327242 AVF327242 ALJ327242 ABN327242 RR327242 HV327242 WUH261706 WKL261706 WAP261706 VQT261706 VGX261706 UXB261706 UNF261706 UDJ261706 TTN261706 TJR261706 SZV261706 SPZ261706 SGD261706 RWH261706 RML261706 RCP261706 QST261706 QIX261706 PZB261706 PPF261706 PFJ261706 OVN261706 OLR261706 OBV261706 NRZ261706 NID261706 MYH261706 MOL261706 MEP261706 LUT261706 LKX261706 LBB261706 KRF261706 KHJ261706 JXN261706 JNR261706 JDV261706 ITZ261706 IKD261706 IAH261706 HQL261706 HGP261706 GWT261706 GMX261706 GDB261706 FTF261706 FJJ261706 EZN261706 EPR261706 EFV261706 DVZ261706 DMD261706 DCH261706 CSL261706 CIP261706 BYT261706 BOX261706 BFB261706 AVF261706 ALJ261706 ABN261706 RR261706 HV261706 WUH196170 WKL196170 WAP196170 VQT196170 VGX196170 UXB196170 UNF196170 UDJ196170 TTN196170 TJR196170 SZV196170 SPZ196170 SGD196170 RWH196170 RML196170 RCP196170 QST196170 QIX196170 PZB196170 PPF196170 PFJ196170 OVN196170 OLR196170 OBV196170 NRZ196170 NID196170 MYH196170 MOL196170 MEP196170 LUT196170 LKX196170 LBB196170 KRF196170 KHJ196170 JXN196170 JNR196170 JDV196170 ITZ196170 IKD196170 IAH196170 HQL196170 HGP196170 GWT196170 GMX196170 GDB196170 FTF196170 FJJ196170 EZN196170 EPR196170 EFV196170 DVZ196170 DMD196170 DCH196170 CSL196170 CIP196170 BYT196170 BOX196170 BFB196170 AVF196170 ALJ196170 ABN196170 RR196170 HV196170 WUH130634 WKL130634 WAP130634 VQT130634 VGX130634 UXB130634 UNF130634 UDJ130634 TTN130634 TJR130634 SZV130634 SPZ130634 SGD130634 RWH130634 RML130634 RCP130634 QST130634 QIX130634 PZB130634 PPF130634 PFJ130634 OVN130634 OLR130634 OBV130634 NRZ130634 NID130634 MYH130634 MOL130634 MEP130634 LUT130634 LKX130634 LBB130634 KRF130634 KHJ130634 JXN130634 JNR130634 JDV130634 ITZ130634 IKD130634 IAH130634 HQL130634 HGP130634 GWT130634 GMX130634 GDB130634 FTF130634 FJJ130634 EZN130634 EPR130634 EFV130634 DVZ130634 DMD130634 DCH130634 CSL130634 CIP130634 BYT130634 BOX130634 BFB130634 AVF130634 ALJ130634 ABN130634 RR130634 HV130634 WUH65098 WKL65098 WAP65098 VQT65098 VGX65098 UXB65098 UNF65098 UDJ65098 TTN65098 TJR65098 SZV65098 SPZ65098 SGD65098 RWH65098 RML65098 RCP65098 QST65098 QIX65098 PZB65098 PPF65098 PFJ65098 OVN65098 OLR65098 OBV65098 NRZ65098 NID65098 MYH65098 MOL65098 MEP65098 LUT65098 LKX65098 LBB65098 KRF65098 KHJ65098 JXN65098 JNR65098 JDV65098 ITZ65098 IKD65098 IAH65098 HQL65098 HGP65098 GWT65098 GMX65098 GDB65098 FTF65098 FJJ65098 EZN65098 EPR65098 EFV65098 DVZ65098 DMD65098 DCH65098 CSL65098 CIP65098 BYT65098 BOX65098 BFB65098 AVF65098 ALJ65098 ABN65098 RR65098 HV65098 WUH982902:WUH982903 WKL982902:WKL982903 WAP982902:WAP982903 VQT982902:VQT982903 VGX982902:VGX982903 UXB982902:UXB982903 UNF982902:UNF982903 UDJ982902:UDJ982903 TTN982902:TTN982903 TJR982902:TJR982903 SZV982902:SZV982903 SPZ982902:SPZ982903 SGD982902:SGD982903 RWH982902:RWH982903 RML982902:RML982903 RCP982902:RCP982903 QST982902:QST982903 QIX982902:QIX982903 PZB982902:PZB982903 PPF982902:PPF982903 PFJ982902:PFJ982903 OVN982902:OVN982903 OLR982902:OLR982903 OBV982902:OBV982903 NRZ982902:NRZ982903 NID982902:NID982903 MYH982902:MYH982903 MOL982902:MOL982903 MEP982902:MEP982903 LUT982902:LUT982903 LKX982902:LKX982903 LBB982902:LBB982903 KRF982902:KRF982903 KHJ982902:KHJ982903 JXN982902:JXN982903 JNR982902:JNR982903 JDV982902:JDV982903 ITZ982902:ITZ982903 IKD982902:IKD982903 IAH982902:IAH982903 HQL982902:HQL982903 HGP982902:HGP982903 GWT982902:GWT982903 GMX982902:GMX982903 GDB982902:GDB982903 FTF982902:FTF982903 FJJ982902:FJJ982903 EZN982902:EZN982903 EPR982902:EPR982903 EFV982902:EFV982903 DVZ982902:DVZ982903 DMD982902:DMD982903 DCH982902:DCH982903 CSL982902:CSL982903 CIP982902:CIP982903 BYT982902:BYT982903 BOX982902:BOX982903 BFB982902:BFB982903 AVF982902:AVF982903 ALJ982902:ALJ982903 ABN982902:ABN982903 RR982902:RR982903 HV982902:HV982903 WUH917366:WUH917367 WKL917366:WKL917367 WAP917366:WAP917367 VQT917366:VQT917367 VGX917366:VGX917367 UXB917366:UXB917367 UNF917366:UNF917367 UDJ917366:UDJ917367 TTN917366:TTN917367 TJR917366:TJR917367 SZV917366:SZV917367 SPZ917366:SPZ917367 SGD917366:SGD917367 RWH917366:RWH917367 RML917366:RML917367 RCP917366:RCP917367 QST917366:QST917367 QIX917366:QIX917367 PZB917366:PZB917367 PPF917366:PPF917367 PFJ917366:PFJ917367 OVN917366:OVN917367 OLR917366:OLR917367 OBV917366:OBV917367 NRZ917366:NRZ917367 NID917366:NID917367 MYH917366:MYH917367 MOL917366:MOL917367 MEP917366:MEP917367 LUT917366:LUT917367 LKX917366:LKX917367 LBB917366:LBB917367 KRF917366:KRF917367 KHJ917366:KHJ917367 JXN917366:JXN917367 JNR917366:JNR917367 JDV917366:JDV917367 ITZ917366:ITZ917367 IKD917366:IKD917367 IAH917366:IAH917367 HQL917366:HQL917367 HGP917366:HGP917367 GWT917366:GWT917367 GMX917366:GMX917367 GDB917366:GDB917367 FTF917366:FTF917367 FJJ917366:FJJ917367 EZN917366:EZN917367 EPR917366:EPR917367 EFV917366:EFV917367 DVZ917366:DVZ917367 DMD917366:DMD917367 DCH917366:DCH917367 CSL917366:CSL917367 CIP917366:CIP917367 BYT917366:BYT917367 BOX917366:BOX917367 BFB917366:BFB917367 AVF917366:AVF917367 ALJ917366:ALJ917367 ABN917366:ABN917367 RR917366:RR917367 HV917366:HV917367 WUH851830:WUH851831 WKL851830:WKL851831 WAP851830:WAP851831 VQT851830:VQT851831 VGX851830:VGX851831 UXB851830:UXB851831 UNF851830:UNF851831 UDJ851830:UDJ851831 TTN851830:TTN851831 TJR851830:TJR851831 SZV851830:SZV851831 SPZ851830:SPZ851831 SGD851830:SGD851831 RWH851830:RWH851831 RML851830:RML851831 RCP851830:RCP851831 QST851830:QST851831 QIX851830:QIX851831 PZB851830:PZB851831 PPF851830:PPF851831 PFJ851830:PFJ851831 OVN851830:OVN851831 OLR851830:OLR851831 OBV851830:OBV851831 NRZ851830:NRZ851831 NID851830:NID851831 MYH851830:MYH851831 MOL851830:MOL851831 MEP851830:MEP851831 LUT851830:LUT851831 LKX851830:LKX851831 LBB851830:LBB851831 KRF851830:KRF851831 KHJ851830:KHJ851831 JXN851830:JXN851831 JNR851830:JNR851831 JDV851830:JDV851831 ITZ851830:ITZ851831 IKD851830:IKD851831 IAH851830:IAH851831 HQL851830:HQL851831 HGP851830:HGP851831 GWT851830:GWT851831 GMX851830:GMX851831 GDB851830:GDB851831 FTF851830:FTF851831 FJJ851830:FJJ851831 EZN851830:EZN851831 EPR851830:EPR851831 EFV851830:EFV851831 DVZ851830:DVZ851831 DMD851830:DMD851831 DCH851830:DCH851831 CSL851830:CSL851831 CIP851830:CIP851831 BYT851830:BYT851831 BOX851830:BOX851831 BFB851830:BFB851831 AVF851830:AVF851831 ALJ851830:ALJ851831 ABN851830:ABN851831 RR851830:RR851831 HV851830:HV851831 WUH786294:WUH786295 WKL786294:WKL786295 WAP786294:WAP786295 VQT786294:VQT786295 VGX786294:VGX786295 UXB786294:UXB786295 UNF786294:UNF786295 UDJ786294:UDJ786295 TTN786294:TTN786295 TJR786294:TJR786295 SZV786294:SZV786295 SPZ786294:SPZ786295 SGD786294:SGD786295 RWH786294:RWH786295 RML786294:RML786295 RCP786294:RCP786295 QST786294:QST786295 QIX786294:QIX786295 PZB786294:PZB786295 PPF786294:PPF786295 PFJ786294:PFJ786295 OVN786294:OVN786295 OLR786294:OLR786295 OBV786294:OBV786295 NRZ786294:NRZ786295 NID786294:NID786295 MYH786294:MYH786295 MOL786294:MOL786295 MEP786294:MEP786295 LUT786294:LUT786295 LKX786294:LKX786295 LBB786294:LBB786295 KRF786294:KRF786295 KHJ786294:KHJ786295 JXN786294:JXN786295 JNR786294:JNR786295 JDV786294:JDV786295 ITZ786294:ITZ786295 IKD786294:IKD786295 IAH786294:IAH786295 HQL786294:HQL786295 HGP786294:HGP786295 GWT786294:GWT786295 GMX786294:GMX786295 GDB786294:GDB786295 FTF786294:FTF786295 FJJ786294:FJJ786295 EZN786294:EZN786295 EPR786294:EPR786295 EFV786294:EFV786295 DVZ786294:DVZ786295 DMD786294:DMD786295 DCH786294:DCH786295 CSL786294:CSL786295 CIP786294:CIP786295 BYT786294:BYT786295 BOX786294:BOX786295 BFB786294:BFB786295 AVF786294:AVF786295 ALJ786294:ALJ786295 ABN786294:ABN786295 RR786294:RR786295 HV786294:HV786295 WUH720758:WUH720759 WKL720758:WKL720759 WAP720758:WAP720759 VQT720758:VQT720759 VGX720758:VGX720759 UXB720758:UXB720759 UNF720758:UNF720759 UDJ720758:UDJ720759 TTN720758:TTN720759 TJR720758:TJR720759 SZV720758:SZV720759 SPZ720758:SPZ720759 SGD720758:SGD720759 RWH720758:RWH720759 RML720758:RML720759 RCP720758:RCP720759 QST720758:QST720759 QIX720758:QIX720759 PZB720758:PZB720759 PPF720758:PPF720759 PFJ720758:PFJ720759 OVN720758:OVN720759 OLR720758:OLR720759 OBV720758:OBV720759 NRZ720758:NRZ720759 NID720758:NID720759 MYH720758:MYH720759 MOL720758:MOL720759 MEP720758:MEP720759 LUT720758:LUT720759 LKX720758:LKX720759 LBB720758:LBB720759 KRF720758:KRF720759 KHJ720758:KHJ720759 JXN720758:JXN720759 JNR720758:JNR720759 JDV720758:JDV720759 ITZ720758:ITZ720759 IKD720758:IKD720759 IAH720758:IAH720759 HQL720758:HQL720759 HGP720758:HGP720759 GWT720758:GWT720759 GMX720758:GMX720759 GDB720758:GDB720759 FTF720758:FTF720759 FJJ720758:FJJ720759 EZN720758:EZN720759 EPR720758:EPR720759 EFV720758:EFV720759 DVZ720758:DVZ720759 DMD720758:DMD720759 DCH720758:DCH720759 CSL720758:CSL720759 CIP720758:CIP720759 BYT720758:BYT720759 BOX720758:BOX720759 BFB720758:BFB720759 AVF720758:AVF720759 ALJ720758:ALJ720759 ABN720758:ABN720759 RR720758:RR720759 HV720758:HV720759 WUH655222:WUH655223 WKL655222:WKL655223 WAP655222:WAP655223 VQT655222:VQT655223 VGX655222:VGX655223 UXB655222:UXB655223 UNF655222:UNF655223 UDJ655222:UDJ655223 TTN655222:TTN655223 TJR655222:TJR655223 SZV655222:SZV655223 SPZ655222:SPZ655223 SGD655222:SGD655223 RWH655222:RWH655223 RML655222:RML655223 RCP655222:RCP655223 QST655222:QST655223 QIX655222:QIX655223 PZB655222:PZB655223 PPF655222:PPF655223 PFJ655222:PFJ655223 OVN655222:OVN655223 OLR655222:OLR655223 OBV655222:OBV655223 NRZ655222:NRZ655223 NID655222:NID655223 MYH655222:MYH655223 MOL655222:MOL655223 MEP655222:MEP655223 LUT655222:LUT655223 LKX655222:LKX655223 LBB655222:LBB655223 KRF655222:KRF655223 KHJ655222:KHJ655223 JXN655222:JXN655223 JNR655222:JNR655223 JDV655222:JDV655223 ITZ655222:ITZ655223 IKD655222:IKD655223 IAH655222:IAH655223 HQL655222:HQL655223 HGP655222:HGP655223 GWT655222:GWT655223 GMX655222:GMX655223 GDB655222:GDB655223 FTF655222:FTF655223 FJJ655222:FJJ655223 EZN655222:EZN655223 EPR655222:EPR655223 EFV655222:EFV655223 DVZ655222:DVZ655223 DMD655222:DMD655223 DCH655222:DCH655223 CSL655222:CSL655223 CIP655222:CIP655223 BYT655222:BYT655223 BOX655222:BOX655223 BFB655222:BFB655223 AVF655222:AVF655223 ALJ655222:ALJ655223 ABN655222:ABN655223 RR655222:RR655223 HV655222:HV655223 WUH589686:WUH589687 WKL589686:WKL589687 WAP589686:WAP589687 VQT589686:VQT589687 VGX589686:VGX589687 UXB589686:UXB589687 UNF589686:UNF589687 UDJ589686:UDJ589687 TTN589686:TTN589687 TJR589686:TJR589687 SZV589686:SZV589687 SPZ589686:SPZ589687 SGD589686:SGD589687 RWH589686:RWH589687 RML589686:RML589687 RCP589686:RCP589687 QST589686:QST589687 QIX589686:QIX589687 PZB589686:PZB589687 PPF589686:PPF589687 PFJ589686:PFJ589687 OVN589686:OVN589687 OLR589686:OLR589687 OBV589686:OBV589687 NRZ589686:NRZ589687 NID589686:NID589687 MYH589686:MYH589687 MOL589686:MOL589687 MEP589686:MEP589687 LUT589686:LUT589687 LKX589686:LKX589687 LBB589686:LBB589687 KRF589686:KRF589687 KHJ589686:KHJ589687 JXN589686:JXN589687 JNR589686:JNR589687 JDV589686:JDV589687 ITZ589686:ITZ589687 IKD589686:IKD589687 IAH589686:IAH589687 HQL589686:HQL589687 HGP589686:HGP589687 GWT589686:GWT589687 GMX589686:GMX589687 GDB589686:GDB589687 FTF589686:FTF589687 FJJ589686:FJJ589687 EZN589686:EZN589687 EPR589686:EPR589687 EFV589686:EFV589687 DVZ589686:DVZ589687 DMD589686:DMD589687 DCH589686:DCH589687 CSL589686:CSL589687 CIP589686:CIP589687 BYT589686:BYT589687 BOX589686:BOX589687 BFB589686:BFB589687 AVF589686:AVF589687 ALJ589686:ALJ589687 ABN589686:ABN589687 RR589686:RR589687 HV589686:HV589687 WUH524150:WUH524151 WKL524150:WKL524151 WAP524150:WAP524151 VQT524150:VQT524151 VGX524150:VGX524151 UXB524150:UXB524151 UNF524150:UNF524151 UDJ524150:UDJ524151 TTN524150:TTN524151 TJR524150:TJR524151 SZV524150:SZV524151 SPZ524150:SPZ524151 SGD524150:SGD524151 RWH524150:RWH524151 RML524150:RML524151 RCP524150:RCP524151 QST524150:QST524151 QIX524150:QIX524151 PZB524150:PZB524151 PPF524150:PPF524151 PFJ524150:PFJ524151 OVN524150:OVN524151 OLR524150:OLR524151 OBV524150:OBV524151 NRZ524150:NRZ524151 NID524150:NID524151 MYH524150:MYH524151 MOL524150:MOL524151 MEP524150:MEP524151 LUT524150:LUT524151 LKX524150:LKX524151 LBB524150:LBB524151 KRF524150:KRF524151 KHJ524150:KHJ524151 JXN524150:JXN524151 JNR524150:JNR524151 JDV524150:JDV524151 ITZ524150:ITZ524151 IKD524150:IKD524151 IAH524150:IAH524151 HQL524150:HQL524151 HGP524150:HGP524151 GWT524150:GWT524151 GMX524150:GMX524151 GDB524150:GDB524151 FTF524150:FTF524151 FJJ524150:FJJ524151 EZN524150:EZN524151 EPR524150:EPR524151 EFV524150:EFV524151 DVZ524150:DVZ524151 DMD524150:DMD524151 DCH524150:DCH524151 CSL524150:CSL524151 CIP524150:CIP524151 BYT524150:BYT524151 BOX524150:BOX524151 BFB524150:BFB524151 AVF524150:AVF524151 ALJ524150:ALJ524151 ABN524150:ABN524151 RR524150:RR524151 HV524150:HV524151 WUH458614:WUH458615 WKL458614:WKL458615 WAP458614:WAP458615 VQT458614:VQT458615 VGX458614:VGX458615 UXB458614:UXB458615 UNF458614:UNF458615 UDJ458614:UDJ458615 TTN458614:TTN458615 TJR458614:TJR458615 SZV458614:SZV458615 SPZ458614:SPZ458615 SGD458614:SGD458615 RWH458614:RWH458615 RML458614:RML458615 RCP458614:RCP458615 QST458614:QST458615 QIX458614:QIX458615 PZB458614:PZB458615 PPF458614:PPF458615 PFJ458614:PFJ458615 OVN458614:OVN458615 OLR458614:OLR458615 OBV458614:OBV458615 NRZ458614:NRZ458615 NID458614:NID458615 MYH458614:MYH458615 MOL458614:MOL458615 MEP458614:MEP458615 LUT458614:LUT458615 LKX458614:LKX458615 LBB458614:LBB458615 KRF458614:KRF458615 KHJ458614:KHJ458615 JXN458614:JXN458615 JNR458614:JNR458615 JDV458614:JDV458615 ITZ458614:ITZ458615 IKD458614:IKD458615 IAH458614:IAH458615 HQL458614:HQL458615 HGP458614:HGP458615 GWT458614:GWT458615 GMX458614:GMX458615 GDB458614:GDB458615 FTF458614:FTF458615 FJJ458614:FJJ458615 EZN458614:EZN458615 EPR458614:EPR458615 EFV458614:EFV458615 DVZ458614:DVZ458615 DMD458614:DMD458615 DCH458614:DCH458615 CSL458614:CSL458615 CIP458614:CIP458615 BYT458614:BYT458615 BOX458614:BOX458615 BFB458614:BFB458615 AVF458614:AVF458615 ALJ458614:ALJ458615 ABN458614:ABN458615 RR458614:RR458615 HV458614:HV458615 WUH393078:WUH393079 WKL393078:WKL393079 WAP393078:WAP393079 VQT393078:VQT393079 VGX393078:VGX393079 UXB393078:UXB393079 UNF393078:UNF393079 UDJ393078:UDJ393079 TTN393078:TTN393079 TJR393078:TJR393079 SZV393078:SZV393079 SPZ393078:SPZ393079 SGD393078:SGD393079 RWH393078:RWH393079 RML393078:RML393079 RCP393078:RCP393079 QST393078:QST393079 QIX393078:QIX393079 PZB393078:PZB393079 PPF393078:PPF393079 PFJ393078:PFJ393079 OVN393078:OVN393079 OLR393078:OLR393079 OBV393078:OBV393079 NRZ393078:NRZ393079 NID393078:NID393079 MYH393078:MYH393079 MOL393078:MOL393079 MEP393078:MEP393079 LUT393078:LUT393079 LKX393078:LKX393079 LBB393078:LBB393079 KRF393078:KRF393079 KHJ393078:KHJ393079 JXN393078:JXN393079 JNR393078:JNR393079 JDV393078:JDV393079 ITZ393078:ITZ393079 IKD393078:IKD393079 IAH393078:IAH393079 HQL393078:HQL393079 HGP393078:HGP393079 GWT393078:GWT393079 GMX393078:GMX393079 GDB393078:GDB393079 FTF393078:FTF393079 FJJ393078:FJJ393079 EZN393078:EZN393079 EPR393078:EPR393079 EFV393078:EFV393079 DVZ393078:DVZ393079 DMD393078:DMD393079 DCH393078:DCH393079 CSL393078:CSL393079 CIP393078:CIP393079 BYT393078:BYT393079 BOX393078:BOX393079 BFB393078:BFB393079 AVF393078:AVF393079 ALJ393078:ALJ393079 ABN393078:ABN393079 RR393078:RR393079 HV393078:HV393079 WUH327542:WUH327543 WKL327542:WKL327543 WAP327542:WAP327543 VQT327542:VQT327543 VGX327542:VGX327543 UXB327542:UXB327543 UNF327542:UNF327543 UDJ327542:UDJ327543 TTN327542:TTN327543 TJR327542:TJR327543 SZV327542:SZV327543 SPZ327542:SPZ327543 SGD327542:SGD327543 RWH327542:RWH327543 RML327542:RML327543 RCP327542:RCP327543 QST327542:QST327543 QIX327542:QIX327543 PZB327542:PZB327543 PPF327542:PPF327543 PFJ327542:PFJ327543 OVN327542:OVN327543 OLR327542:OLR327543 OBV327542:OBV327543 NRZ327542:NRZ327543 NID327542:NID327543 MYH327542:MYH327543 MOL327542:MOL327543 MEP327542:MEP327543 LUT327542:LUT327543 LKX327542:LKX327543 LBB327542:LBB327543 KRF327542:KRF327543 KHJ327542:KHJ327543 JXN327542:JXN327543 JNR327542:JNR327543 JDV327542:JDV327543 ITZ327542:ITZ327543 IKD327542:IKD327543 IAH327542:IAH327543 HQL327542:HQL327543 HGP327542:HGP327543 GWT327542:GWT327543 GMX327542:GMX327543 GDB327542:GDB327543 FTF327542:FTF327543 FJJ327542:FJJ327543 EZN327542:EZN327543 EPR327542:EPR327543 EFV327542:EFV327543 DVZ327542:DVZ327543 DMD327542:DMD327543 DCH327542:DCH327543 CSL327542:CSL327543 CIP327542:CIP327543 BYT327542:BYT327543 BOX327542:BOX327543 BFB327542:BFB327543 AVF327542:AVF327543 ALJ327542:ALJ327543 ABN327542:ABN327543 RR327542:RR327543 HV327542:HV327543 WUH262006:WUH262007 WKL262006:WKL262007 WAP262006:WAP262007 VQT262006:VQT262007 VGX262006:VGX262007 UXB262006:UXB262007 UNF262006:UNF262007 UDJ262006:UDJ262007 TTN262006:TTN262007 TJR262006:TJR262007 SZV262006:SZV262007 SPZ262006:SPZ262007 SGD262006:SGD262007 RWH262006:RWH262007 RML262006:RML262007 RCP262006:RCP262007 QST262006:QST262007 QIX262006:QIX262007 PZB262006:PZB262007 PPF262006:PPF262007 PFJ262006:PFJ262007 OVN262006:OVN262007 OLR262006:OLR262007 OBV262006:OBV262007 NRZ262006:NRZ262007 NID262006:NID262007 MYH262006:MYH262007 MOL262006:MOL262007 MEP262006:MEP262007 LUT262006:LUT262007 LKX262006:LKX262007 LBB262006:LBB262007 KRF262006:KRF262007 KHJ262006:KHJ262007 JXN262006:JXN262007 JNR262006:JNR262007 JDV262006:JDV262007 ITZ262006:ITZ262007 IKD262006:IKD262007 IAH262006:IAH262007 HQL262006:HQL262007 HGP262006:HGP262007 GWT262006:GWT262007 GMX262006:GMX262007 GDB262006:GDB262007 FTF262006:FTF262007 FJJ262006:FJJ262007 EZN262006:EZN262007 EPR262006:EPR262007 EFV262006:EFV262007 DVZ262006:DVZ262007 DMD262006:DMD262007 DCH262006:DCH262007 CSL262006:CSL262007 CIP262006:CIP262007 BYT262006:BYT262007 BOX262006:BOX262007 BFB262006:BFB262007 AVF262006:AVF262007 ALJ262006:ALJ262007 ABN262006:ABN262007 RR262006:RR262007 HV262006:HV262007 WUH196470:WUH196471 WKL196470:WKL196471 WAP196470:WAP196471 VQT196470:VQT196471 VGX196470:VGX196471 UXB196470:UXB196471 UNF196470:UNF196471 UDJ196470:UDJ196471 TTN196470:TTN196471 TJR196470:TJR196471 SZV196470:SZV196471 SPZ196470:SPZ196471 SGD196470:SGD196471 RWH196470:RWH196471 RML196470:RML196471 RCP196470:RCP196471 QST196470:QST196471 QIX196470:QIX196471 PZB196470:PZB196471 PPF196470:PPF196471 PFJ196470:PFJ196471 OVN196470:OVN196471 OLR196470:OLR196471 OBV196470:OBV196471 NRZ196470:NRZ196471 NID196470:NID196471 MYH196470:MYH196471 MOL196470:MOL196471 MEP196470:MEP196471 LUT196470:LUT196471 LKX196470:LKX196471 LBB196470:LBB196471 KRF196470:KRF196471 KHJ196470:KHJ196471 JXN196470:JXN196471 JNR196470:JNR196471 JDV196470:JDV196471 ITZ196470:ITZ196471 IKD196470:IKD196471 IAH196470:IAH196471 HQL196470:HQL196471 HGP196470:HGP196471 GWT196470:GWT196471 GMX196470:GMX196471 GDB196470:GDB196471 FTF196470:FTF196471 FJJ196470:FJJ196471 EZN196470:EZN196471 EPR196470:EPR196471 EFV196470:EFV196471 DVZ196470:DVZ196471 DMD196470:DMD196471 DCH196470:DCH196471 CSL196470:CSL196471 CIP196470:CIP196471 BYT196470:BYT196471 BOX196470:BOX196471 BFB196470:BFB196471 AVF196470:AVF196471 ALJ196470:ALJ196471 ABN196470:ABN196471 RR196470:RR196471 HV196470:HV196471 WUH130934:WUH130935 WKL130934:WKL130935 WAP130934:WAP130935 VQT130934:VQT130935 VGX130934:VGX130935 UXB130934:UXB130935 UNF130934:UNF130935 UDJ130934:UDJ130935 TTN130934:TTN130935 TJR130934:TJR130935 SZV130934:SZV130935 SPZ130934:SPZ130935 SGD130934:SGD130935 RWH130934:RWH130935 RML130934:RML130935 RCP130934:RCP130935 QST130934:QST130935 QIX130934:QIX130935 PZB130934:PZB130935 PPF130934:PPF130935 PFJ130934:PFJ130935 OVN130934:OVN130935 OLR130934:OLR130935 OBV130934:OBV130935 NRZ130934:NRZ130935 NID130934:NID130935 MYH130934:MYH130935 MOL130934:MOL130935 MEP130934:MEP130935 LUT130934:LUT130935 LKX130934:LKX130935 LBB130934:LBB130935 KRF130934:KRF130935 KHJ130934:KHJ130935 JXN130934:JXN130935 JNR130934:JNR130935 JDV130934:JDV130935 ITZ130934:ITZ130935 IKD130934:IKD130935 IAH130934:IAH130935 HQL130934:HQL130935 HGP130934:HGP130935 GWT130934:GWT130935 GMX130934:GMX130935 GDB130934:GDB130935 FTF130934:FTF130935 FJJ130934:FJJ130935 EZN130934:EZN130935 EPR130934:EPR130935 EFV130934:EFV130935 DVZ130934:DVZ130935 DMD130934:DMD130935 DCH130934:DCH130935 CSL130934:CSL130935 CIP130934:CIP130935 BYT130934:BYT130935 BOX130934:BOX130935 BFB130934:BFB130935 AVF130934:AVF130935 ALJ130934:ALJ130935 ABN130934:ABN130935 RR130934:RR130935 HV130934:HV130935 WUH65398:WUH65399 WKL65398:WKL65399 WAP65398:WAP65399 VQT65398:VQT65399 VGX65398:VGX65399 UXB65398:UXB65399 UNF65398:UNF65399 UDJ65398:UDJ65399 TTN65398:TTN65399 TJR65398:TJR65399 SZV65398:SZV65399 SPZ65398:SPZ65399 SGD65398:SGD65399 RWH65398:RWH65399 RML65398:RML65399 RCP65398:RCP65399 QST65398:QST65399 QIX65398:QIX65399 PZB65398:PZB65399 PPF65398:PPF65399 PFJ65398:PFJ65399 OVN65398:OVN65399 OLR65398:OLR65399 OBV65398:OBV65399 NRZ65398:NRZ65399 NID65398:NID65399 MYH65398:MYH65399 MOL65398:MOL65399 MEP65398:MEP65399 LUT65398:LUT65399 LKX65398:LKX65399 LBB65398:LBB65399 KRF65398:KRF65399 KHJ65398:KHJ65399 JXN65398:JXN65399 JNR65398:JNR65399 JDV65398:JDV65399 ITZ65398:ITZ65399 IKD65398:IKD65399 IAH65398:IAH65399 HQL65398:HQL65399 HGP65398:HGP65399 GWT65398:GWT65399 GMX65398:GMX65399 GDB65398:GDB65399 FTF65398:FTF65399 FJJ65398:FJJ65399 EZN65398:EZN65399 EPR65398:EPR65399 EFV65398:EFV65399 DVZ65398:DVZ65399 DMD65398:DMD65399 DCH65398:DCH65399 CSL65398:CSL65399 CIP65398:CIP65399 BYT65398:BYT65399 BOX65398:BOX65399 BFB65398:BFB65399 AVF65398:AVF65399 ALJ65398:ALJ65399 ABN65398:ABN65399 RR65398:RR65399 HV65398:HV65399 WUH982923:WUH982924 WKL982923:WKL982924 WAP982923:WAP982924 VQT982923:VQT982924 VGX982923:VGX982924 UXB982923:UXB982924 UNF982923:UNF982924 UDJ982923:UDJ982924 TTN982923:TTN982924 TJR982923:TJR982924 SZV982923:SZV982924 SPZ982923:SPZ982924 SGD982923:SGD982924 RWH982923:RWH982924 RML982923:RML982924 RCP982923:RCP982924 QST982923:QST982924 QIX982923:QIX982924 PZB982923:PZB982924 PPF982923:PPF982924 PFJ982923:PFJ982924 OVN982923:OVN982924 OLR982923:OLR982924 OBV982923:OBV982924 NRZ982923:NRZ982924 NID982923:NID982924 MYH982923:MYH982924 MOL982923:MOL982924 MEP982923:MEP982924 LUT982923:LUT982924 LKX982923:LKX982924 LBB982923:LBB982924 KRF982923:KRF982924 KHJ982923:KHJ982924 JXN982923:JXN982924 JNR982923:JNR982924 JDV982923:JDV982924 ITZ982923:ITZ982924 IKD982923:IKD982924 IAH982923:IAH982924 HQL982923:HQL982924 HGP982923:HGP982924 GWT982923:GWT982924 GMX982923:GMX982924 GDB982923:GDB982924 FTF982923:FTF982924 FJJ982923:FJJ982924 EZN982923:EZN982924 EPR982923:EPR982924 EFV982923:EFV982924 DVZ982923:DVZ982924 DMD982923:DMD982924 DCH982923:DCH982924 CSL982923:CSL982924 CIP982923:CIP982924 BYT982923:BYT982924 BOX982923:BOX982924 BFB982923:BFB982924 AVF982923:AVF982924 ALJ982923:ALJ982924 ABN982923:ABN982924 RR982923:RR982924 HV982923:HV982924 WUH917387:WUH917388 WKL917387:WKL917388 WAP917387:WAP917388 VQT917387:VQT917388 VGX917387:VGX917388 UXB917387:UXB917388 UNF917387:UNF917388 UDJ917387:UDJ917388 TTN917387:TTN917388 TJR917387:TJR917388 SZV917387:SZV917388 SPZ917387:SPZ917388 SGD917387:SGD917388 RWH917387:RWH917388 RML917387:RML917388 RCP917387:RCP917388 QST917387:QST917388 QIX917387:QIX917388 PZB917387:PZB917388 PPF917387:PPF917388 PFJ917387:PFJ917388 OVN917387:OVN917388 OLR917387:OLR917388 OBV917387:OBV917388 NRZ917387:NRZ917388 NID917387:NID917388 MYH917387:MYH917388 MOL917387:MOL917388 MEP917387:MEP917388 LUT917387:LUT917388 LKX917387:LKX917388 LBB917387:LBB917388 KRF917387:KRF917388 KHJ917387:KHJ917388 JXN917387:JXN917388 JNR917387:JNR917388 JDV917387:JDV917388 ITZ917387:ITZ917388 IKD917387:IKD917388 IAH917387:IAH917388 HQL917387:HQL917388 HGP917387:HGP917388 GWT917387:GWT917388 GMX917387:GMX917388 GDB917387:GDB917388 FTF917387:FTF917388 FJJ917387:FJJ917388 EZN917387:EZN917388 EPR917387:EPR917388 EFV917387:EFV917388 DVZ917387:DVZ917388 DMD917387:DMD917388 DCH917387:DCH917388 CSL917387:CSL917388 CIP917387:CIP917388 BYT917387:BYT917388 BOX917387:BOX917388 BFB917387:BFB917388 AVF917387:AVF917388 ALJ917387:ALJ917388 ABN917387:ABN917388 RR917387:RR917388 HV917387:HV917388 WUH851851:WUH851852 WKL851851:WKL851852 WAP851851:WAP851852 VQT851851:VQT851852 VGX851851:VGX851852 UXB851851:UXB851852 UNF851851:UNF851852 UDJ851851:UDJ851852 TTN851851:TTN851852 TJR851851:TJR851852 SZV851851:SZV851852 SPZ851851:SPZ851852 SGD851851:SGD851852 RWH851851:RWH851852 RML851851:RML851852 RCP851851:RCP851852 QST851851:QST851852 QIX851851:QIX851852 PZB851851:PZB851852 PPF851851:PPF851852 PFJ851851:PFJ851852 OVN851851:OVN851852 OLR851851:OLR851852 OBV851851:OBV851852 NRZ851851:NRZ851852 NID851851:NID851852 MYH851851:MYH851852 MOL851851:MOL851852 MEP851851:MEP851852 LUT851851:LUT851852 LKX851851:LKX851852 LBB851851:LBB851852 KRF851851:KRF851852 KHJ851851:KHJ851852 JXN851851:JXN851852 JNR851851:JNR851852 JDV851851:JDV851852 ITZ851851:ITZ851852 IKD851851:IKD851852 IAH851851:IAH851852 HQL851851:HQL851852 HGP851851:HGP851852 GWT851851:GWT851852 GMX851851:GMX851852 GDB851851:GDB851852 FTF851851:FTF851852 FJJ851851:FJJ851852 EZN851851:EZN851852 EPR851851:EPR851852 EFV851851:EFV851852 DVZ851851:DVZ851852 DMD851851:DMD851852 DCH851851:DCH851852 CSL851851:CSL851852 CIP851851:CIP851852 BYT851851:BYT851852 BOX851851:BOX851852 BFB851851:BFB851852 AVF851851:AVF851852 ALJ851851:ALJ851852 ABN851851:ABN851852 RR851851:RR851852 HV851851:HV851852 WUH786315:WUH786316 WKL786315:WKL786316 WAP786315:WAP786316 VQT786315:VQT786316 VGX786315:VGX786316 UXB786315:UXB786316 UNF786315:UNF786316 UDJ786315:UDJ786316 TTN786315:TTN786316 TJR786315:TJR786316 SZV786315:SZV786316 SPZ786315:SPZ786316 SGD786315:SGD786316 RWH786315:RWH786316 RML786315:RML786316 RCP786315:RCP786316 QST786315:QST786316 QIX786315:QIX786316 PZB786315:PZB786316 PPF786315:PPF786316 PFJ786315:PFJ786316 OVN786315:OVN786316 OLR786315:OLR786316 OBV786315:OBV786316 NRZ786315:NRZ786316 NID786315:NID786316 MYH786315:MYH786316 MOL786315:MOL786316 MEP786315:MEP786316 LUT786315:LUT786316 LKX786315:LKX786316 LBB786315:LBB786316 KRF786315:KRF786316 KHJ786315:KHJ786316 JXN786315:JXN786316 JNR786315:JNR786316 JDV786315:JDV786316 ITZ786315:ITZ786316 IKD786315:IKD786316 IAH786315:IAH786316 HQL786315:HQL786316 HGP786315:HGP786316 GWT786315:GWT786316 GMX786315:GMX786316 GDB786315:GDB786316 FTF786315:FTF786316 FJJ786315:FJJ786316 EZN786315:EZN786316 EPR786315:EPR786316 EFV786315:EFV786316 DVZ786315:DVZ786316 DMD786315:DMD786316 DCH786315:DCH786316 CSL786315:CSL786316 CIP786315:CIP786316 BYT786315:BYT786316 BOX786315:BOX786316 BFB786315:BFB786316 AVF786315:AVF786316 ALJ786315:ALJ786316 ABN786315:ABN786316 RR786315:RR786316 HV786315:HV786316 WUH720779:WUH720780 WKL720779:WKL720780 WAP720779:WAP720780 VQT720779:VQT720780 VGX720779:VGX720780 UXB720779:UXB720780 UNF720779:UNF720780 UDJ720779:UDJ720780 TTN720779:TTN720780 TJR720779:TJR720780 SZV720779:SZV720780 SPZ720779:SPZ720780 SGD720779:SGD720780 RWH720779:RWH720780 RML720779:RML720780 RCP720779:RCP720780 QST720779:QST720780 QIX720779:QIX720780 PZB720779:PZB720780 PPF720779:PPF720780 PFJ720779:PFJ720780 OVN720779:OVN720780 OLR720779:OLR720780 OBV720779:OBV720780 NRZ720779:NRZ720780 NID720779:NID720780 MYH720779:MYH720780 MOL720779:MOL720780 MEP720779:MEP720780 LUT720779:LUT720780 LKX720779:LKX720780 LBB720779:LBB720780 KRF720779:KRF720780 KHJ720779:KHJ720780 JXN720779:JXN720780 JNR720779:JNR720780 JDV720779:JDV720780 ITZ720779:ITZ720780 IKD720779:IKD720780 IAH720779:IAH720780 HQL720779:HQL720780 HGP720779:HGP720780 GWT720779:GWT720780 GMX720779:GMX720780 GDB720779:GDB720780 FTF720779:FTF720780 FJJ720779:FJJ720780 EZN720779:EZN720780 EPR720779:EPR720780 EFV720779:EFV720780 DVZ720779:DVZ720780 DMD720779:DMD720780 DCH720779:DCH720780 CSL720779:CSL720780 CIP720779:CIP720780 BYT720779:BYT720780 BOX720779:BOX720780 BFB720779:BFB720780 AVF720779:AVF720780 ALJ720779:ALJ720780 ABN720779:ABN720780 RR720779:RR720780 HV720779:HV720780 WUH655243:WUH655244 WKL655243:WKL655244 WAP655243:WAP655244 VQT655243:VQT655244 VGX655243:VGX655244 UXB655243:UXB655244 UNF655243:UNF655244 UDJ655243:UDJ655244 TTN655243:TTN655244 TJR655243:TJR655244 SZV655243:SZV655244 SPZ655243:SPZ655244 SGD655243:SGD655244 RWH655243:RWH655244 RML655243:RML655244 RCP655243:RCP655244 QST655243:QST655244 QIX655243:QIX655244 PZB655243:PZB655244 PPF655243:PPF655244 PFJ655243:PFJ655244 OVN655243:OVN655244 OLR655243:OLR655244 OBV655243:OBV655244 NRZ655243:NRZ655244 NID655243:NID655244 MYH655243:MYH655244 MOL655243:MOL655244 MEP655243:MEP655244 LUT655243:LUT655244 LKX655243:LKX655244 LBB655243:LBB655244 KRF655243:KRF655244 KHJ655243:KHJ655244 JXN655243:JXN655244 JNR655243:JNR655244 JDV655243:JDV655244 ITZ655243:ITZ655244 IKD655243:IKD655244 IAH655243:IAH655244 HQL655243:HQL655244 HGP655243:HGP655244 GWT655243:GWT655244 GMX655243:GMX655244 GDB655243:GDB655244 FTF655243:FTF655244 FJJ655243:FJJ655244 EZN655243:EZN655244 EPR655243:EPR655244 EFV655243:EFV655244 DVZ655243:DVZ655244 DMD655243:DMD655244 DCH655243:DCH655244 CSL655243:CSL655244 CIP655243:CIP655244 BYT655243:BYT655244 BOX655243:BOX655244 BFB655243:BFB655244 AVF655243:AVF655244 ALJ655243:ALJ655244 ABN655243:ABN655244 RR655243:RR655244 HV655243:HV655244 WUH589707:WUH589708 WKL589707:WKL589708 WAP589707:WAP589708 VQT589707:VQT589708 VGX589707:VGX589708 UXB589707:UXB589708 UNF589707:UNF589708 UDJ589707:UDJ589708 TTN589707:TTN589708 TJR589707:TJR589708 SZV589707:SZV589708 SPZ589707:SPZ589708 SGD589707:SGD589708 RWH589707:RWH589708 RML589707:RML589708 RCP589707:RCP589708 QST589707:QST589708 QIX589707:QIX589708 PZB589707:PZB589708 PPF589707:PPF589708 PFJ589707:PFJ589708 OVN589707:OVN589708 OLR589707:OLR589708 OBV589707:OBV589708 NRZ589707:NRZ589708 NID589707:NID589708 MYH589707:MYH589708 MOL589707:MOL589708 MEP589707:MEP589708 LUT589707:LUT589708 LKX589707:LKX589708 LBB589707:LBB589708 KRF589707:KRF589708 KHJ589707:KHJ589708 JXN589707:JXN589708 JNR589707:JNR589708 JDV589707:JDV589708 ITZ589707:ITZ589708 IKD589707:IKD589708 IAH589707:IAH589708 HQL589707:HQL589708 HGP589707:HGP589708 GWT589707:GWT589708 GMX589707:GMX589708 GDB589707:GDB589708 FTF589707:FTF589708 FJJ589707:FJJ589708 EZN589707:EZN589708 EPR589707:EPR589708 EFV589707:EFV589708 DVZ589707:DVZ589708 DMD589707:DMD589708 DCH589707:DCH589708 CSL589707:CSL589708 CIP589707:CIP589708 BYT589707:BYT589708 BOX589707:BOX589708 BFB589707:BFB589708 AVF589707:AVF589708 ALJ589707:ALJ589708 ABN589707:ABN589708 RR589707:RR589708 HV589707:HV589708 WUH524171:WUH524172 WKL524171:WKL524172 WAP524171:WAP524172 VQT524171:VQT524172 VGX524171:VGX524172 UXB524171:UXB524172 UNF524171:UNF524172 UDJ524171:UDJ524172 TTN524171:TTN524172 TJR524171:TJR524172 SZV524171:SZV524172 SPZ524171:SPZ524172 SGD524171:SGD524172 RWH524171:RWH524172 RML524171:RML524172 RCP524171:RCP524172 QST524171:QST524172 QIX524171:QIX524172 PZB524171:PZB524172 PPF524171:PPF524172 PFJ524171:PFJ524172 OVN524171:OVN524172 OLR524171:OLR524172 OBV524171:OBV524172 NRZ524171:NRZ524172 NID524171:NID524172 MYH524171:MYH524172 MOL524171:MOL524172 MEP524171:MEP524172 LUT524171:LUT524172 LKX524171:LKX524172 LBB524171:LBB524172 KRF524171:KRF524172 KHJ524171:KHJ524172 JXN524171:JXN524172 JNR524171:JNR524172 JDV524171:JDV524172 ITZ524171:ITZ524172 IKD524171:IKD524172 IAH524171:IAH524172 HQL524171:HQL524172 HGP524171:HGP524172 GWT524171:GWT524172 GMX524171:GMX524172 GDB524171:GDB524172 FTF524171:FTF524172 FJJ524171:FJJ524172 EZN524171:EZN524172 EPR524171:EPR524172 EFV524171:EFV524172 DVZ524171:DVZ524172 DMD524171:DMD524172 DCH524171:DCH524172 CSL524171:CSL524172 CIP524171:CIP524172 BYT524171:BYT524172 BOX524171:BOX524172 BFB524171:BFB524172 AVF524171:AVF524172 ALJ524171:ALJ524172 ABN524171:ABN524172 RR524171:RR524172 HV524171:HV524172 WUH458635:WUH458636 WKL458635:WKL458636 WAP458635:WAP458636 VQT458635:VQT458636 VGX458635:VGX458636 UXB458635:UXB458636 UNF458635:UNF458636 UDJ458635:UDJ458636 TTN458635:TTN458636 TJR458635:TJR458636 SZV458635:SZV458636 SPZ458635:SPZ458636 SGD458635:SGD458636 RWH458635:RWH458636 RML458635:RML458636 RCP458635:RCP458636 QST458635:QST458636 QIX458635:QIX458636 PZB458635:PZB458636 PPF458635:PPF458636 PFJ458635:PFJ458636 OVN458635:OVN458636 OLR458635:OLR458636 OBV458635:OBV458636 NRZ458635:NRZ458636 NID458635:NID458636 MYH458635:MYH458636 MOL458635:MOL458636 MEP458635:MEP458636 LUT458635:LUT458636 LKX458635:LKX458636 LBB458635:LBB458636 KRF458635:KRF458636 KHJ458635:KHJ458636 JXN458635:JXN458636 JNR458635:JNR458636 JDV458635:JDV458636 ITZ458635:ITZ458636 IKD458635:IKD458636 IAH458635:IAH458636 HQL458635:HQL458636 HGP458635:HGP458636 GWT458635:GWT458636 GMX458635:GMX458636 GDB458635:GDB458636 FTF458635:FTF458636 FJJ458635:FJJ458636 EZN458635:EZN458636 EPR458635:EPR458636 EFV458635:EFV458636 DVZ458635:DVZ458636 DMD458635:DMD458636 DCH458635:DCH458636 CSL458635:CSL458636 CIP458635:CIP458636 BYT458635:BYT458636 BOX458635:BOX458636 BFB458635:BFB458636 AVF458635:AVF458636 ALJ458635:ALJ458636 ABN458635:ABN458636 RR458635:RR458636 HV458635:HV458636 WUH393099:WUH393100 WKL393099:WKL393100 WAP393099:WAP393100 VQT393099:VQT393100 VGX393099:VGX393100 UXB393099:UXB393100 UNF393099:UNF393100 UDJ393099:UDJ393100 TTN393099:TTN393100 TJR393099:TJR393100 SZV393099:SZV393100 SPZ393099:SPZ393100 SGD393099:SGD393100 RWH393099:RWH393100 RML393099:RML393100 RCP393099:RCP393100 QST393099:QST393100 QIX393099:QIX393100 PZB393099:PZB393100 PPF393099:PPF393100 PFJ393099:PFJ393100 OVN393099:OVN393100 OLR393099:OLR393100 OBV393099:OBV393100 NRZ393099:NRZ393100 NID393099:NID393100 MYH393099:MYH393100 MOL393099:MOL393100 MEP393099:MEP393100 LUT393099:LUT393100 LKX393099:LKX393100 LBB393099:LBB393100 KRF393099:KRF393100 KHJ393099:KHJ393100 JXN393099:JXN393100 JNR393099:JNR393100 JDV393099:JDV393100 ITZ393099:ITZ393100 IKD393099:IKD393100 IAH393099:IAH393100 HQL393099:HQL393100 HGP393099:HGP393100 GWT393099:GWT393100 GMX393099:GMX393100 GDB393099:GDB393100 FTF393099:FTF393100 FJJ393099:FJJ393100 EZN393099:EZN393100 EPR393099:EPR393100 EFV393099:EFV393100 DVZ393099:DVZ393100 DMD393099:DMD393100 DCH393099:DCH393100 CSL393099:CSL393100 CIP393099:CIP393100 BYT393099:BYT393100 BOX393099:BOX393100 BFB393099:BFB393100 AVF393099:AVF393100 ALJ393099:ALJ393100 ABN393099:ABN393100 RR393099:RR393100 HV393099:HV393100 WUH327563:WUH327564 WKL327563:WKL327564 WAP327563:WAP327564 VQT327563:VQT327564 VGX327563:VGX327564 UXB327563:UXB327564 UNF327563:UNF327564 UDJ327563:UDJ327564 TTN327563:TTN327564 TJR327563:TJR327564 SZV327563:SZV327564 SPZ327563:SPZ327564 SGD327563:SGD327564 RWH327563:RWH327564 RML327563:RML327564 RCP327563:RCP327564 QST327563:QST327564 QIX327563:QIX327564 PZB327563:PZB327564 PPF327563:PPF327564 PFJ327563:PFJ327564 OVN327563:OVN327564 OLR327563:OLR327564 OBV327563:OBV327564 NRZ327563:NRZ327564 NID327563:NID327564 MYH327563:MYH327564 MOL327563:MOL327564 MEP327563:MEP327564 LUT327563:LUT327564 LKX327563:LKX327564 LBB327563:LBB327564 KRF327563:KRF327564 KHJ327563:KHJ327564 JXN327563:JXN327564 JNR327563:JNR327564 JDV327563:JDV327564 ITZ327563:ITZ327564 IKD327563:IKD327564 IAH327563:IAH327564 HQL327563:HQL327564 HGP327563:HGP327564 GWT327563:GWT327564 GMX327563:GMX327564 GDB327563:GDB327564 FTF327563:FTF327564 FJJ327563:FJJ327564 EZN327563:EZN327564 EPR327563:EPR327564 EFV327563:EFV327564 DVZ327563:DVZ327564 DMD327563:DMD327564 DCH327563:DCH327564 CSL327563:CSL327564 CIP327563:CIP327564 BYT327563:BYT327564 BOX327563:BOX327564 BFB327563:BFB327564 AVF327563:AVF327564 ALJ327563:ALJ327564 ABN327563:ABN327564 RR327563:RR327564 HV327563:HV327564 WUH262027:WUH262028 WKL262027:WKL262028 WAP262027:WAP262028 VQT262027:VQT262028 VGX262027:VGX262028 UXB262027:UXB262028 UNF262027:UNF262028 UDJ262027:UDJ262028 TTN262027:TTN262028 TJR262027:TJR262028 SZV262027:SZV262028 SPZ262027:SPZ262028 SGD262027:SGD262028 RWH262027:RWH262028 RML262027:RML262028 RCP262027:RCP262028 QST262027:QST262028 QIX262027:QIX262028 PZB262027:PZB262028 PPF262027:PPF262028 PFJ262027:PFJ262028 OVN262027:OVN262028 OLR262027:OLR262028 OBV262027:OBV262028 NRZ262027:NRZ262028 NID262027:NID262028 MYH262027:MYH262028 MOL262027:MOL262028 MEP262027:MEP262028 LUT262027:LUT262028 LKX262027:LKX262028 LBB262027:LBB262028 KRF262027:KRF262028 KHJ262027:KHJ262028 JXN262027:JXN262028 JNR262027:JNR262028 JDV262027:JDV262028 ITZ262027:ITZ262028 IKD262027:IKD262028 IAH262027:IAH262028 HQL262027:HQL262028 HGP262027:HGP262028 GWT262027:GWT262028 GMX262027:GMX262028 GDB262027:GDB262028 FTF262027:FTF262028 FJJ262027:FJJ262028 EZN262027:EZN262028 EPR262027:EPR262028 EFV262027:EFV262028 DVZ262027:DVZ262028 DMD262027:DMD262028 DCH262027:DCH262028 CSL262027:CSL262028 CIP262027:CIP262028 BYT262027:BYT262028 BOX262027:BOX262028 BFB262027:BFB262028 AVF262027:AVF262028 ALJ262027:ALJ262028 ABN262027:ABN262028 RR262027:RR262028 HV262027:HV262028 WUH196491:WUH196492 WKL196491:WKL196492 WAP196491:WAP196492 VQT196491:VQT196492 VGX196491:VGX196492 UXB196491:UXB196492 UNF196491:UNF196492 UDJ196491:UDJ196492 TTN196491:TTN196492 TJR196491:TJR196492 SZV196491:SZV196492 SPZ196491:SPZ196492 SGD196491:SGD196492 RWH196491:RWH196492 RML196491:RML196492 RCP196491:RCP196492 QST196491:QST196492 QIX196491:QIX196492 PZB196491:PZB196492 PPF196491:PPF196492 PFJ196491:PFJ196492 OVN196491:OVN196492 OLR196491:OLR196492 OBV196491:OBV196492 NRZ196491:NRZ196492 NID196491:NID196492 MYH196491:MYH196492 MOL196491:MOL196492 MEP196491:MEP196492 LUT196491:LUT196492 LKX196491:LKX196492 LBB196491:LBB196492 KRF196491:KRF196492 KHJ196491:KHJ196492 JXN196491:JXN196492 JNR196491:JNR196492 JDV196491:JDV196492 ITZ196491:ITZ196492 IKD196491:IKD196492 IAH196491:IAH196492 HQL196491:HQL196492 HGP196491:HGP196492 GWT196491:GWT196492 GMX196491:GMX196492 GDB196491:GDB196492 FTF196491:FTF196492 FJJ196491:FJJ196492 EZN196491:EZN196492 EPR196491:EPR196492 EFV196491:EFV196492 DVZ196491:DVZ196492 DMD196491:DMD196492 DCH196491:DCH196492 CSL196491:CSL196492 CIP196491:CIP196492 BYT196491:BYT196492 BOX196491:BOX196492 BFB196491:BFB196492 AVF196491:AVF196492 ALJ196491:ALJ196492 ABN196491:ABN196492 RR196491:RR196492 HV196491:HV196492 WUH130955:WUH130956 WKL130955:WKL130956 WAP130955:WAP130956 VQT130955:VQT130956 VGX130955:VGX130956 UXB130955:UXB130956 UNF130955:UNF130956 UDJ130955:UDJ130956 TTN130955:TTN130956 TJR130955:TJR130956 SZV130955:SZV130956 SPZ130955:SPZ130956 SGD130955:SGD130956 RWH130955:RWH130956 RML130955:RML130956 RCP130955:RCP130956 QST130955:QST130956 QIX130955:QIX130956 PZB130955:PZB130956 PPF130955:PPF130956 PFJ130955:PFJ130956 OVN130955:OVN130956 OLR130955:OLR130956 OBV130955:OBV130956 NRZ130955:NRZ130956 NID130955:NID130956 MYH130955:MYH130956 MOL130955:MOL130956 MEP130955:MEP130956 LUT130955:LUT130956 LKX130955:LKX130956 LBB130955:LBB130956 KRF130955:KRF130956 KHJ130955:KHJ130956 JXN130955:JXN130956 JNR130955:JNR130956 JDV130955:JDV130956 ITZ130955:ITZ130956 IKD130955:IKD130956 IAH130955:IAH130956 HQL130955:HQL130956 HGP130955:HGP130956 GWT130955:GWT130956 GMX130955:GMX130956 GDB130955:GDB130956 FTF130955:FTF130956 FJJ130955:FJJ130956 EZN130955:EZN130956 EPR130955:EPR130956 EFV130955:EFV130956 DVZ130955:DVZ130956 DMD130955:DMD130956 DCH130955:DCH130956 CSL130955:CSL130956 CIP130955:CIP130956 BYT130955:BYT130956 BOX130955:BOX130956 BFB130955:BFB130956 AVF130955:AVF130956 ALJ130955:ALJ130956 ABN130955:ABN130956 RR130955:RR130956 HV130955:HV130956 WUH65419:WUH65420 WKL65419:WKL65420 WAP65419:WAP65420 VQT65419:VQT65420 VGX65419:VGX65420 UXB65419:UXB65420 UNF65419:UNF65420 UDJ65419:UDJ65420 TTN65419:TTN65420 TJR65419:TJR65420 SZV65419:SZV65420 SPZ65419:SPZ65420 SGD65419:SGD65420 RWH65419:RWH65420 RML65419:RML65420 RCP65419:RCP65420 QST65419:QST65420 QIX65419:QIX65420 PZB65419:PZB65420 PPF65419:PPF65420 PFJ65419:PFJ65420 OVN65419:OVN65420 OLR65419:OLR65420 OBV65419:OBV65420 NRZ65419:NRZ65420 NID65419:NID65420 MYH65419:MYH65420 MOL65419:MOL65420 MEP65419:MEP65420 LUT65419:LUT65420 LKX65419:LKX65420 LBB65419:LBB65420 KRF65419:KRF65420 KHJ65419:KHJ65420 JXN65419:JXN65420 JNR65419:JNR65420 JDV65419:JDV65420 ITZ65419:ITZ65420 IKD65419:IKD65420 IAH65419:IAH65420 HQL65419:HQL65420 HGP65419:HGP65420 GWT65419:GWT65420 GMX65419:GMX65420 GDB65419:GDB65420 FTF65419:FTF65420 FJJ65419:FJJ65420 EZN65419:EZN65420 EPR65419:EPR65420 EFV65419:EFV65420 DVZ65419:DVZ65420 DMD65419:DMD65420 DCH65419:DCH65420 CSL65419:CSL65420 CIP65419:CIP65420 BYT65419:BYT65420 BOX65419:BOX65420 BFB65419:BFB65420 AVF65419:AVF65420 ALJ65419:ALJ65420 ABN65419:ABN65420 RR65419:RR65420 HV65419:HV65420 WUH982933:WUH982934 WKL982933:WKL982934 WAP982933:WAP982934 VQT982933:VQT982934 VGX982933:VGX982934 UXB982933:UXB982934 UNF982933:UNF982934 UDJ982933:UDJ982934 TTN982933:TTN982934 TJR982933:TJR982934 SZV982933:SZV982934 SPZ982933:SPZ982934 SGD982933:SGD982934 RWH982933:RWH982934 RML982933:RML982934 RCP982933:RCP982934 QST982933:QST982934 QIX982933:QIX982934 PZB982933:PZB982934 PPF982933:PPF982934 PFJ982933:PFJ982934 OVN982933:OVN982934 OLR982933:OLR982934 OBV982933:OBV982934 NRZ982933:NRZ982934 NID982933:NID982934 MYH982933:MYH982934 MOL982933:MOL982934 MEP982933:MEP982934 LUT982933:LUT982934 LKX982933:LKX982934 LBB982933:LBB982934 KRF982933:KRF982934 KHJ982933:KHJ982934 JXN982933:JXN982934 JNR982933:JNR982934 JDV982933:JDV982934 ITZ982933:ITZ982934 IKD982933:IKD982934 IAH982933:IAH982934 HQL982933:HQL982934 HGP982933:HGP982934 GWT982933:GWT982934 GMX982933:GMX982934 GDB982933:GDB982934 FTF982933:FTF982934 FJJ982933:FJJ982934 EZN982933:EZN982934 EPR982933:EPR982934 EFV982933:EFV982934 DVZ982933:DVZ982934 DMD982933:DMD982934 DCH982933:DCH982934 CSL982933:CSL982934 CIP982933:CIP982934 BYT982933:BYT982934 BOX982933:BOX982934 BFB982933:BFB982934 AVF982933:AVF982934 ALJ982933:ALJ982934 ABN982933:ABN982934 RR982933:RR982934 HV982933:HV982934 WUH917397:WUH917398 WKL917397:WKL917398 WAP917397:WAP917398 VQT917397:VQT917398 VGX917397:VGX917398 UXB917397:UXB917398 UNF917397:UNF917398 UDJ917397:UDJ917398 TTN917397:TTN917398 TJR917397:TJR917398 SZV917397:SZV917398 SPZ917397:SPZ917398 SGD917397:SGD917398 RWH917397:RWH917398 RML917397:RML917398 RCP917397:RCP917398 QST917397:QST917398 QIX917397:QIX917398 PZB917397:PZB917398 PPF917397:PPF917398 PFJ917397:PFJ917398 OVN917397:OVN917398 OLR917397:OLR917398 OBV917397:OBV917398 NRZ917397:NRZ917398 NID917397:NID917398 MYH917397:MYH917398 MOL917397:MOL917398 MEP917397:MEP917398 LUT917397:LUT917398 LKX917397:LKX917398 LBB917397:LBB917398 KRF917397:KRF917398 KHJ917397:KHJ917398 JXN917397:JXN917398 JNR917397:JNR917398 JDV917397:JDV917398 ITZ917397:ITZ917398 IKD917397:IKD917398 IAH917397:IAH917398 HQL917397:HQL917398 HGP917397:HGP917398 GWT917397:GWT917398 GMX917397:GMX917398 GDB917397:GDB917398 FTF917397:FTF917398 FJJ917397:FJJ917398 EZN917397:EZN917398 EPR917397:EPR917398 EFV917397:EFV917398 DVZ917397:DVZ917398 DMD917397:DMD917398 DCH917397:DCH917398 CSL917397:CSL917398 CIP917397:CIP917398 BYT917397:BYT917398 BOX917397:BOX917398 BFB917397:BFB917398 AVF917397:AVF917398 ALJ917397:ALJ917398 ABN917397:ABN917398 RR917397:RR917398 HV917397:HV917398 WUH851861:WUH851862 WKL851861:WKL851862 WAP851861:WAP851862 VQT851861:VQT851862 VGX851861:VGX851862 UXB851861:UXB851862 UNF851861:UNF851862 UDJ851861:UDJ851862 TTN851861:TTN851862 TJR851861:TJR851862 SZV851861:SZV851862 SPZ851861:SPZ851862 SGD851861:SGD851862 RWH851861:RWH851862 RML851861:RML851862 RCP851861:RCP851862 QST851861:QST851862 QIX851861:QIX851862 PZB851861:PZB851862 PPF851861:PPF851862 PFJ851861:PFJ851862 OVN851861:OVN851862 OLR851861:OLR851862 OBV851861:OBV851862 NRZ851861:NRZ851862 NID851861:NID851862 MYH851861:MYH851862 MOL851861:MOL851862 MEP851861:MEP851862 LUT851861:LUT851862 LKX851861:LKX851862 LBB851861:LBB851862 KRF851861:KRF851862 KHJ851861:KHJ851862 JXN851861:JXN851862 JNR851861:JNR851862 JDV851861:JDV851862 ITZ851861:ITZ851862 IKD851861:IKD851862 IAH851861:IAH851862 HQL851861:HQL851862 HGP851861:HGP851862 GWT851861:GWT851862 GMX851861:GMX851862 GDB851861:GDB851862 FTF851861:FTF851862 FJJ851861:FJJ851862 EZN851861:EZN851862 EPR851861:EPR851862 EFV851861:EFV851862 DVZ851861:DVZ851862 DMD851861:DMD851862 DCH851861:DCH851862 CSL851861:CSL851862 CIP851861:CIP851862 BYT851861:BYT851862 BOX851861:BOX851862 BFB851861:BFB851862 AVF851861:AVF851862 ALJ851861:ALJ851862 ABN851861:ABN851862 RR851861:RR851862 HV851861:HV851862 WUH786325:WUH786326 WKL786325:WKL786326 WAP786325:WAP786326 VQT786325:VQT786326 VGX786325:VGX786326 UXB786325:UXB786326 UNF786325:UNF786326 UDJ786325:UDJ786326 TTN786325:TTN786326 TJR786325:TJR786326 SZV786325:SZV786326 SPZ786325:SPZ786326 SGD786325:SGD786326 RWH786325:RWH786326 RML786325:RML786326 RCP786325:RCP786326 QST786325:QST786326 QIX786325:QIX786326 PZB786325:PZB786326 PPF786325:PPF786326 PFJ786325:PFJ786326 OVN786325:OVN786326 OLR786325:OLR786326 OBV786325:OBV786326 NRZ786325:NRZ786326 NID786325:NID786326 MYH786325:MYH786326 MOL786325:MOL786326 MEP786325:MEP786326 LUT786325:LUT786326 LKX786325:LKX786326 LBB786325:LBB786326 KRF786325:KRF786326 KHJ786325:KHJ786326 JXN786325:JXN786326 JNR786325:JNR786326 JDV786325:JDV786326 ITZ786325:ITZ786326 IKD786325:IKD786326 IAH786325:IAH786326 HQL786325:HQL786326 HGP786325:HGP786326 GWT786325:GWT786326 GMX786325:GMX786326 GDB786325:GDB786326 FTF786325:FTF786326 FJJ786325:FJJ786326 EZN786325:EZN786326 EPR786325:EPR786326 EFV786325:EFV786326 DVZ786325:DVZ786326 DMD786325:DMD786326 DCH786325:DCH786326 CSL786325:CSL786326 CIP786325:CIP786326 BYT786325:BYT786326 BOX786325:BOX786326 BFB786325:BFB786326 AVF786325:AVF786326 ALJ786325:ALJ786326 ABN786325:ABN786326 RR786325:RR786326 HV786325:HV786326 WUH720789:WUH720790 WKL720789:WKL720790 WAP720789:WAP720790 VQT720789:VQT720790 VGX720789:VGX720790 UXB720789:UXB720790 UNF720789:UNF720790 UDJ720789:UDJ720790 TTN720789:TTN720790 TJR720789:TJR720790 SZV720789:SZV720790 SPZ720789:SPZ720790 SGD720789:SGD720790 RWH720789:RWH720790 RML720789:RML720790 RCP720789:RCP720790 QST720789:QST720790 QIX720789:QIX720790 PZB720789:PZB720790 PPF720789:PPF720790 PFJ720789:PFJ720790 OVN720789:OVN720790 OLR720789:OLR720790 OBV720789:OBV720790 NRZ720789:NRZ720790 NID720789:NID720790 MYH720789:MYH720790 MOL720789:MOL720790 MEP720789:MEP720790 LUT720789:LUT720790 LKX720789:LKX720790 LBB720789:LBB720790 KRF720789:KRF720790 KHJ720789:KHJ720790 JXN720789:JXN720790 JNR720789:JNR720790 JDV720789:JDV720790 ITZ720789:ITZ720790 IKD720789:IKD720790 IAH720789:IAH720790 HQL720789:HQL720790 HGP720789:HGP720790 GWT720789:GWT720790 GMX720789:GMX720790 GDB720789:GDB720790 FTF720789:FTF720790 FJJ720789:FJJ720790 EZN720789:EZN720790 EPR720789:EPR720790 EFV720789:EFV720790 DVZ720789:DVZ720790 DMD720789:DMD720790 DCH720789:DCH720790 CSL720789:CSL720790 CIP720789:CIP720790 BYT720789:BYT720790 BOX720789:BOX720790 BFB720789:BFB720790 AVF720789:AVF720790 ALJ720789:ALJ720790 ABN720789:ABN720790 RR720789:RR720790 HV720789:HV720790 WUH655253:WUH655254 WKL655253:WKL655254 WAP655253:WAP655254 VQT655253:VQT655254 VGX655253:VGX655254 UXB655253:UXB655254 UNF655253:UNF655254 UDJ655253:UDJ655254 TTN655253:TTN655254 TJR655253:TJR655254 SZV655253:SZV655254 SPZ655253:SPZ655254 SGD655253:SGD655254 RWH655253:RWH655254 RML655253:RML655254 RCP655253:RCP655254 QST655253:QST655254 QIX655253:QIX655254 PZB655253:PZB655254 PPF655253:PPF655254 PFJ655253:PFJ655254 OVN655253:OVN655254 OLR655253:OLR655254 OBV655253:OBV655254 NRZ655253:NRZ655254 NID655253:NID655254 MYH655253:MYH655254 MOL655253:MOL655254 MEP655253:MEP655254 LUT655253:LUT655254 LKX655253:LKX655254 LBB655253:LBB655254 KRF655253:KRF655254 KHJ655253:KHJ655254 JXN655253:JXN655254 JNR655253:JNR655254 JDV655253:JDV655254 ITZ655253:ITZ655254 IKD655253:IKD655254 IAH655253:IAH655254 HQL655253:HQL655254 HGP655253:HGP655254 GWT655253:GWT655254 GMX655253:GMX655254 GDB655253:GDB655254 FTF655253:FTF655254 FJJ655253:FJJ655254 EZN655253:EZN655254 EPR655253:EPR655254 EFV655253:EFV655254 DVZ655253:DVZ655254 DMD655253:DMD655254 DCH655253:DCH655254 CSL655253:CSL655254 CIP655253:CIP655254 BYT655253:BYT655254 BOX655253:BOX655254 BFB655253:BFB655254 AVF655253:AVF655254 ALJ655253:ALJ655254 ABN655253:ABN655254 RR655253:RR655254 HV655253:HV655254 WUH589717:WUH589718 WKL589717:WKL589718 WAP589717:WAP589718 VQT589717:VQT589718 VGX589717:VGX589718 UXB589717:UXB589718 UNF589717:UNF589718 UDJ589717:UDJ589718 TTN589717:TTN589718 TJR589717:TJR589718 SZV589717:SZV589718 SPZ589717:SPZ589718 SGD589717:SGD589718 RWH589717:RWH589718 RML589717:RML589718 RCP589717:RCP589718 QST589717:QST589718 QIX589717:QIX589718 PZB589717:PZB589718 PPF589717:PPF589718 PFJ589717:PFJ589718 OVN589717:OVN589718 OLR589717:OLR589718 OBV589717:OBV589718 NRZ589717:NRZ589718 NID589717:NID589718 MYH589717:MYH589718 MOL589717:MOL589718 MEP589717:MEP589718 LUT589717:LUT589718 LKX589717:LKX589718 LBB589717:LBB589718 KRF589717:KRF589718 KHJ589717:KHJ589718 JXN589717:JXN589718 JNR589717:JNR589718 JDV589717:JDV589718 ITZ589717:ITZ589718 IKD589717:IKD589718 IAH589717:IAH589718 HQL589717:HQL589718 HGP589717:HGP589718 GWT589717:GWT589718 GMX589717:GMX589718 GDB589717:GDB589718 FTF589717:FTF589718 FJJ589717:FJJ589718 EZN589717:EZN589718 EPR589717:EPR589718 EFV589717:EFV589718 DVZ589717:DVZ589718 DMD589717:DMD589718 DCH589717:DCH589718 CSL589717:CSL589718 CIP589717:CIP589718 BYT589717:BYT589718 BOX589717:BOX589718 BFB589717:BFB589718 AVF589717:AVF589718 ALJ589717:ALJ589718 ABN589717:ABN589718 RR589717:RR589718 HV589717:HV589718 WUH524181:WUH524182 WKL524181:WKL524182 WAP524181:WAP524182 VQT524181:VQT524182 VGX524181:VGX524182 UXB524181:UXB524182 UNF524181:UNF524182 UDJ524181:UDJ524182 TTN524181:TTN524182 TJR524181:TJR524182 SZV524181:SZV524182 SPZ524181:SPZ524182 SGD524181:SGD524182 RWH524181:RWH524182 RML524181:RML524182 RCP524181:RCP524182 QST524181:QST524182 QIX524181:QIX524182 PZB524181:PZB524182 PPF524181:PPF524182 PFJ524181:PFJ524182 OVN524181:OVN524182 OLR524181:OLR524182 OBV524181:OBV524182 NRZ524181:NRZ524182 NID524181:NID524182 MYH524181:MYH524182 MOL524181:MOL524182 MEP524181:MEP524182 LUT524181:LUT524182 LKX524181:LKX524182 LBB524181:LBB524182 KRF524181:KRF524182 KHJ524181:KHJ524182 JXN524181:JXN524182 JNR524181:JNR524182 JDV524181:JDV524182 ITZ524181:ITZ524182 IKD524181:IKD524182 IAH524181:IAH524182 HQL524181:HQL524182 HGP524181:HGP524182 GWT524181:GWT524182 GMX524181:GMX524182 GDB524181:GDB524182 FTF524181:FTF524182 FJJ524181:FJJ524182 EZN524181:EZN524182 EPR524181:EPR524182 EFV524181:EFV524182 DVZ524181:DVZ524182 DMD524181:DMD524182 DCH524181:DCH524182 CSL524181:CSL524182 CIP524181:CIP524182 BYT524181:BYT524182 BOX524181:BOX524182 BFB524181:BFB524182 AVF524181:AVF524182 ALJ524181:ALJ524182 ABN524181:ABN524182 RR524181:RR524182 HV524181:HV524182 WUH458645:WUH458646 WKL458645:WKL458646 WAP458645:WAP458646 VQT458645:VQT458646 VGX458645:VGX458646 UXB458645:UXB458646 UNF458645:UNF458646 UDJ458645:UDJ458646 TTN458645:TTN458646 TJR458645:TJR458646 SZV458645:SZV458646 SPZ458645:SPZ458646 SGD458645:SGD458646 RWH458645:RWH458646 RML458645:RML458646 RCP458645:RCP458646 QST458645:QST458646 QIX458645:QIX458646 PZB458645:PZB458646 PPF458645:PPF458646 PFJ458645:PFJ458646 OVN458645:OVN458646 OLR458645:OLR458646 OBV458645:OBV458646 NRZ458645:NRZ458646 NID458645:NID458646 MYH458645:MYH458646 MOL458645:MOL458646 MEP458645:MEP458646 LUT458645:LUT458646 LKX458645:LKX458646 LBB458645:LBB458646 KRF458645:KRF458646 KHJ458645:KHJ458646 JXN458645:JXN458646 JNR458645:JNR458646 JDV458645:JDV458646 ITZ458645:ITZ458646 IKD458645:IKD458646 IAH458645:IAH458646 HQL458645:HQL458646 HGP458645:HGP458646 GWT458645:GWT458646 GMX458645:GMX458646 GDB458645:GDB458646 FTF458645:FTF458646 FJJ458645:FJJ458646 EZN458645:EZN458646 EPR458645:EPR458646 EFV458645:EFV458646 DVZ458645:DVZ458646 DMD458645:DMD458646 DCH458645:DCH458646 CSL458645:CSL458646 CIP458645:CIP458646 BYT458645:BYT458646 BOX458645:BOX458646 BFB458645:BFB458646 AVF458645:AVF458646 ALJ458645:ALJ458646 ABN458645:ABN458646 RR458645:RR458646 HV458645:HV458646 WUH393109:WUH393110 WKL393109:WKL393110 WAP393109:WAP393110 VQT393109:VQT393110 VGX393109:VGX393110 UXB393109:UXB393110 UNF393109:UNF393110 UDJ393109:UDJ393110 TTN393109:TTN393110 TJR393109:TJR393110 SZV393109:SZV393110 SPZ393109:SPZ393110 SGD393109:SGD393110 RWH393109:RWH393110 RML393109:RML393110 RCP393109:RCP393110 QST393109:QST393110 QIX393109:QIX393110 PZB393109:PZB393110 PPF393109:PPF393110 PFJ393109:PFJ393110 OVN393109:OVN393110 OLR393109:OLR393110 OBV393109:OBV393110 NRZ393109:NRZ393110 NID393109:NID393110 MYH393109:MYH393110 MOL393109:MOL393110 MEP393109:MEP393110 LUT393109:LUT393110 LKX393109:LKX393110 LBB393109:LBB393110 KRF393109:KRF393110 KHJ393109:KHJ393110 JXN393109:JXN393110 JNR393109:JNR393110 JDV393109:JDV393110 ITZ393109:ITZ393110 IKD393109:IKD393110 IAH393109:IAH393110 HQL393109:HQL393110 HGP393109:HGP393110 GWT393109:GWT393110 GMX393109:GMX393110 GDB393109:GDB393110 FTF393109:FTF393110 FJJ393109:FJJ393110 EZN393109:EZN393110 EPR393109:EPR393110 EFV393109:EFV393110 DVZ393109:DVZ393110 DMD393109:DMD393110 DCH393109:DCH393110 CSL393109:CSL393110 CIP393109:CIP393110 BYT393109:BYT393110 BOX393109:BOX393110 BFB393109:BFB393110 AVF393109:AVF393110 ALJ393109:ALJ393110 ABN393109:ABN393110 RR393109:RR393110 HV393109:HV393110 WUH327573:WUH327574 WKL327573:WKL327574 WAP327573:WAP327574 VQT327573:VQT327574 VGX327573:VGX327574 UXB327573:UXB327574 UNF327573:UNF327574 UDJ327573:UDJ327574 TTN327573:TTN327574 TJR327573:TJR327574 SZV327573:SZV327574 SPZ327573:SPZ327574 SGD327573:SGD327574 RWH327573:RWH327574 RML327573:RML327574 RCP327573:RCP327574 QST327573:QST327574 QIX327573:QIX327574 PZB327573:PZB327574 PPF327573:PPF327574 PFJ327573:PFJ327574 OVN327573:OVN327574 OLR327573:OLR327574 OBV327573:OBV327574 NRZ327573:NRZ327574 NID327573:NID327574 MYH327573:MYH327574 MOL327573:MOL327574 MEP327573:MEP327574 LUT327573:LUT327574 LKX327573:LKX327574 LBB327573:LBB327574 KRF327573:KRF327574 KHJ327573:KHJ327574 JXN327573:JXN327574 JNR327573:JNR327574 JDV327573:JDV327574 ITZ327573:ITZ327574 IKD327573:IKD327574 IAH327573:IAH327574 HQL327573:HQL327574 HGP327573:HGP327574 GWT327573:GWT327574 GMX327573:GMX327574 GDB327573:GDB327574 FTF327573:FTF327574 FJJ327573:FJJ327574 EZN327573:EZN327574 EPR327573:EPR327574 EFV327573:EFV327574 DVZ327573:DVZ327574 DMD327573:DMD327574 DCH327573:DCH327574 CSL327573:CSL327574 CIP327573:CIP327574 BYT327573:BYT327574 BOX327573:BOX327574 BFB327573:BFB327574 AVF327573:AVF327574 ALJ327573:ALJ327574 ABN327573:ABN327574 RR327573:RR327574 HV327573:HV327574 WUH262037:WUH262038 WKL262037:WKL262038 WAP262037:WAP262038 VQT262037:VQT262038 VGX262037:VGX262038 UXB262037:UXB262038 UNF262037:UNF262038 UDJ262037:UDJ262038 TTN262037:TTN262038 TJR262037:TJR262038 SZV262037:SZV262038 SPZ262037:SPZ262038 SGD262037:SGD262038 RWH262037:RWH262038 RML262037:RML262038 RCP262037:RCP262038 QST262037:QST262038 QIX262037:QIX262038 PZB262037:PZB262038 PPF262037:PPF262038 PFJ262037:PFJ262038 OVN262037:OVN262038 OLR262037:OLR262038 OBV262037:OBV262038 NRZ262037:NRZ262038 NID262037:NID262038 MYH262037:MYH262038 MOL262037:MOL262038 MEP262037:MEP262038 LUT262037:LUT262038 LKX262037:LKX262038 LBB262037:LBB262038 KRF262037:KRF262038 KHJ262037:KHJ262038 JXN262037:JXN262038 JNR262037:JNR262038 JDV262037:JDV262038 ITZ262037:ITZ262038 IKD262037:IKD262038 IAH262037:IAH262038 HQL262037:HQL262038 HGP262037:HGP262038 GWT262037:GWT262038 GMX262037:GMX262038 GDB262037:GDB262038 FTF262037:FTF262038 FJJ262037:FJJ262038 EZN262037:EZN262038 EPR262037:EPR262038 EFV262037:EFV262038 DVZ262037:DVZ262038 DMD262037:DMD262038 DCH262037:DCH262038 CSL262037:CSL262038 CIP262037:CIP262038 BYT262037:BYT262038 BOX262037:BOX262038 BFB262037:BFB262038 AVF262037:AVF262038 ALJ262037:ALJ262038 ABN262037:ABN262038 RR262037:RR262038 HV262037:HV262038 WUH196501:WUH196502 WKL196501:WKL196502 WAP196501:WAP196502 VQT196501:VQT196502 VGX196501:VGX196502 UXB196501:UXB196502 UNF196501:UNF196502 UDJ196501:UDJ196502 TTN196501:TTN196502 TJR196501:TJR196502 SZV196501:SZV196502 SPZ196501:SPZ196502 SGD196501:SGD196502 RWH196501:RWH196502 RML196501:RML196502 RCP196501:RCP196502 QST196501:QST196502 QIX196501:QIX196502 PZB196501:PZB196502 PPF196501:PPF196502 PFJ196501:PFJ196502 OVN196501:OVN196502 OLR196501:OLR196502 OBV196501:OBV196502 NRZ196501:NRZ196502 NID196501:NID196502 MYH196501:MYH196502 MOL196501:MOL196502 MEP196501:MEP196502 LUT196501:LUT196502 LKX196501:LKX196502 LBB196501:LBB196502 KRF196501:KRF196502 KHJ196501:KHJ196502 JXN196501:JXN196502 JNR196501:JNR196502 JDV196501:JDV196502 ITZ196501:ITZ196502 IKD196501:IKD196502 IAH196501:IAH196502 HQL196501:HQL196502 HGP196501:HGP196502 GWT196501:GWT196502 GMX196501:GMX196502 GDB196501:GDB196502 FTF196501:FTF196502 FJJ196501:FJJ196502 EZN196501:EZN196502 EPR196501:EPR196502 EFV196501:EFV196502 DVZ196501:DVZ196502 DMD196501:DMD196502 DCH196501:DCH196502 CSL196501:CSL196502 CIP196501:CIP196502 BYT196501:BYT196502 BOX196501:BOX196502 BFB196501:BFB196502 AVF196501:AVF196502 ALJ196501:ALJ196502 ABN196501:ABN196502 RR196501:RR196502 HV196501:HV196502 WUH130965:WUH130966 WKL130965:WKL130966 WAP130965:WAP130966 VQT130965:VQT130966 VGX130965:VGX130966 UXB130965:UXB130966 UNF130965:UNF130966 UDJ130965:UDJ130966 TTN130965:TTN130966 TJR130965:TJR130966 SZV130965:SZV130966 SPZ130965:SPZ130966 SGD130965:SGD130966 RWH130965:RWH130966 RML130965:RML130966 RCP130965:RCP130966 QST130965:QST130966 QIX130965:QIX130966 PZB130965:PZB130966 PPF130965:PPF130966 PFJ130965:PFJ130966 OVN130965:OVN130966 OLR130965:OLR130966 OBV130965:OBV130966 NRZ130965:NRZ130966 NID130965:NID130966 MYH130965:MYH130966 MOL130965:MOL130966 MEP130965:MEP130966 LUT130965:LUT130966 LKX130965:LKX130966 LBB130965:LBB130966 KRF130965:KRF130966 KHJ130965:KHJ130966 JXN130965:JXN130966 JNR130965:JNR130966 JDV130965:JDV130966 ITZ130965:ITZ130966 IKD130965:IKD130966 IAH130965:IAH130966 HQL130965:HQL130966 HGP130965:HGP130966 GWT130965:GWT130966 GMX130965:GMX130966 GDB130965:GDB130966 FTF130965:FTF130966 FJJ130965:FJJ130966 EZN130965:EZN130966 EPR130965:EPR130966 EFV130965:EFV130966 DVZ130965:DVZ130966 DMD130965:DMD130966 DCH130965:DCH130966 CSL130965:CSL130966 CIP130965:CIP130966 BYT130965:BYT130966 BOX130965:BOX130966 BFB130965:BFB130966 AVF130965:AVF130966 ALJ130965:ALJ130966 ABN130965:ABN130966 RR130965:RR130966 HV130965:HV130966 WUH65429:WUH65430 WKL65429:WKL65430 WAP65429:WAP65430 VQT65429:VQT65430 VGX65429:VGX65430 UXB65429:UXB65430 UNF65429:UNF65430 UDJ65429:UDJ65430 TTN65429:TTN65430 TJR65429:TJR65430 SZV65429:SZV65430 SPZ65429:SPZ65430 SGD65429:SGD65430 RWH65429:RWH65430 RML65429:RML65430 RCP65429:RCP65430 QST65429:QST65430 QIX65429:QIX65430 PZB65429:PZB65430 PPF65429:PPF65430 PFJ65429:PFJ65430 OVN65429:OVN65430 OLR65429:OLR65430 OBV65429:OBV65430 NRZ65429:NRZ65430 NID65429:NID65430 MYH65429:MYH65430 MOL65429:MOL65430 MEP65429:MEP65430 LUT65429:LUT65430 LKX65429:LKX65430 LBB65429:LBB65430 KRF65429:KRF65430 KHJ65429:KHJ65430 JXN65429:JXN65430 JNR65429:JNR65430 JDV65429:JDV65430 ITZ65429:ITZ65430 IKD65429:IKD65430 IAH65429:IAH65430 HQL65429:HQL65430 HGP65429:HGP65430 GWT65429:GWT65430 GMX65429:GMX65430 GDB65429:GDB65430 FTF65429:FTF65430 FJJ65429:FJJ65430 EZN65429:EZN65430 EPR65429:EPR65430 EFV65429:EFV65430 DVZ65429:DVZ65430 DMD65429:DMD65430 DCH65429:DCH65430 CSL65429:CSL65430 CIP65429:CIP65430 BYT65429:BYT65430 BOX65429:BOX65430 BFB65429:BFB65430 AVF65429:AVF65430 ALJ65429:ALJ65430 ABN65429:ABN65430 RR65429:RR65430 HV65429:HV65430 WUH983491 WKL983491 WAP983491 VQT983491 VGX983491 UXB983491 UNF983491 UDJ983491 TTN983491 TJR983491 SZV983491 SPZ983491 SGD983491 RWH983491 RML983491 RCP983491 QST983491 QIX983491 PZB983491 PPF983491 PFJ983491 OVN983491 OLR983491 OBV983491 NRZ983491 NID983491 MYH983491 MOL983491 MEP983491 LUT983491 LKX983491 LBB983491 KRF983491 KHJ983491 JXN983491 JNR983491 JDV983491 ITZ983491 IKD983491 IAH983491 HQL983491 HGP983491 GWT983491 GMX983491 GDB983491 FTF983491 FJJ983491 EZN983491 EPR983491 EFV983491 DVZ983491 DMD983491 DCH983491 CSL983491 CIP983491 BYT983491 BOX983491 BFB983491 AVF983491 ALJ983491 ABN983491 RR983491 HV983491 WUH917955 WKL917955 WAP917955 VQT917955 VGX917955 UXB917955 UNF917955 UDJ917955 TTN917955 TJR917955 SZV917955 SPZ917955 SGD917955 RWH917955 RML917955 RCP917955 QST917955 QIX917955 PZB917955 PPF917955 PFJ917955 OVN917955 OLR917955 OBV917955 NRZ917955 NID917955 MYH917955 MOL917955 MEP917955 LUT917955 LKX917955 LBB917955 KRF917955 KHJ917955 JXN917955 JNR917955 JDV917955 ITZ917955 IKD917955 IAH917955 HQL917955 HGP917955 GWT917955 GMX917955 GDB917955 FTF917955 FJJ917955 EZN917955 EPR917955 EFV917955 DVZ917955 DMD917955 DCH917955 CSL917955 CIP917955 BYT917955 BOX917955 BFB917955 AVF917955 ALJ917955 ABN917955 RR917955 HV917955 WUH852419 WKL852419 WAP852419 VQT852419 VGX852419 UXB852419 UNF852419 UDJ852419 TTN852419 TJR852419 SZV852419 SPZ852419 SGD852419 RWH852419 RML852419 RCP852419 QST852419 QIX852419 PZB852419 PPF852419 PFJ852419 OVN852419 OLR852419 OBV852419 NRZ852419 NID852419 MYH852419 MOL852419 MEP852419 LUT852419 LKX852419 LBB852419 KRF852419 KHJ852419 JXN852419 JNR852419 JDV852419 ITZ852419 IKD852419 IAH852419 HQL852419 HGP852419 GWT852419 GMX852419 GDB852419 FTF852419 FJJ852419 EZN852419 EPR852419 EFV852419 DVZ852419 DMD852419 DCH852419 CSL852419 CIP852419 BYT852419 BOX852419 BFB852419 AVF852419 ALJ852419 ABN852419 RR852419 HV852419 WUH786883 WKL786883 WAP786883 VQT786883 VGX786883 UXB786883 UNF786883 UDJ786883 TTN786883 TJR786883 SZV786883 SPZ786883 SGD786883 RWH786883 RML786883 RCP786883 QST786883 QIX786883 PZB786883 PPF786883 PFJ786883 OVN786883 OLR786883 OBV786883 NRZ786883 NID786883 MYH786883 MOL786883 MEP786883 LUT786883 LKX786883 LBB786883 KRF786883 KHJ786883 JXN786883 JNR786883 JDV786883 ITZ786883 IKD786883 IAH786883 HQL786883 HGP786883 GWT786883 GMX786883 GDB786883 FTF786883 FJJ786883 EZN786883 EPR786883 EFV786883 DVZ786883 DMD786883 DCH786883 CSL786883 CIP786883 BYT786883 BOX786883 BFB786883 AVF786883 ALJ786883 ABN786883 RR786883 HV786883 WUH721347 WKL721347 WAP721347 VQT721347 VGX721347 UXB721347 UNF721347 UDJ721347 TTN721347 TJR721347 SZV721347 SPZ721347 SGD721347 RWH721347 RML721347 RCP721347 QST721347 QIX721347 PZB721347 PPF721347 PFJ721347 OVN721347 OLR721347 OBV721347 NRZ721347 NID721347 MYH721347 MOL721347 MEP721347 LUT721347 LKX721347 LBB721347 KRF721347 KHJ721347 JXN721347 JNR721347 JDV721347 ITZ721347 IKD721347 IAH721347 HQL721347 HGP721347 GWT721347 GMX721347 GDB721347 FTF721347 FJJ721347 EZN721347 EPR721347 EFV721347 DVZ721347 DMD721347 DCH721347 CSL721347 CIP721347 BYT721347 BOX721347 BFB721347 AVF721347 ALJ721347 ABN721347 RR721347 HV721347 WUH655811 WKL655811 WAP655811 VQT655811 VGX655811 UXB655811 UNF655811 UDJ655811 TTN655811 TJR655811 SZV655811 SPZ655811 SGD655811 RWH655811 RML655811 RCP655811 QST655811 QIX655811 PZB655811 PPF655811 PFJ655811 OVN655811 OLR655811 OBV655811 NRZ655811 NID655811 MYH655811 MOL655811 MEP655811 LUT655811 LKX655811 LBB655811 KRF655811 KHJ655811 JXN655811 JNR655811 JDV655811 ITZ655811 IKD655811 IAH655811 HQL655811 HGP655811 GWT655811 GMX655811 GDB655811 FTF655811 FJJ655811 EZN655811 EPR655811 EFV655811 DVZ655811 DMD655811 DCH655811 CSL655811 CIP655811 BYT655811 BOX655811 BFB655811 AVF655811 ALJ655811 ABN655811 RR655811 HV655811 WUH590275 WKL590275 WAP590275 VQT590275 VGX590275 UXB590275 UNF590275 UDJ590275 TTN590275 TJR590275 SZV590275 SPZ590275 SGD590275 RWH590275 RML590275 RCP590275 QST590275 QIX590275 PZB590275 PPF590275 PFJ590275 OVN590275 OLR590275 OBV590275 NRZ590275 NID590275 MYH590275 MOL590275 MEP590275 LUT590275 LKX590275 LBB590275 KRF590275 KHJ590275 JXN590275 JNR590275 JDV590275 ITZ590275 IKD590275 IAH590275 HQL590275 HGP590275 GWT590275 GMX590275 GDB590275 FTF590275 FJJ590275 EZN590275 EPR590275 EFV590275 DVZ590275 DMD590275 DCH590275 CSL590275 CIP590275 BYT590275 BOX590275 BFB590275 AVF590275 ALJ590275 ABN590275 RR590275 HV590275 WUH524739 WKL524739 WAP524739 VQT524739 VGX524739 UXB524739 UNF524739 UDJ524739 TTN524739 TJR524739 SZV524739 SPZ524739 SGD524739 RWH524739 RML524739 RCP524739 QST524739 QIX524739 PZB524739 PPF524739 PFJ524739 OVN524739 OLR524739 OBV524739 NRZ524739 NID524739 MYH524739 MOL524739 MEP524739 LUT524739 LKX524739 LBB524739 KRF524739 KHJ524739 JXN524739 JNR524739 JDV524739 ITZ524739 IKD524739 IAH524739 HQL524739 HGP524739 GWT524739 GMX524739 GDB524739 FTF524739 FJJ524739 EZN524739 EPR524739 EFV524739 DVZ524739 DMD524739 DCH524739 CSL524739 CIP524739 BYT524739 BOX524739 BFB524739 AVF524739 ALJ524739 ABN524739 RR524739 HV524739 WUH459203 WKL459203 WAP459203 VQT459203 VGX459203 UXB459203 UNF459203 UDJ459203 TTN459203 TJR459203 SZV459203 SPZ459203 SGD459203 RWH459203 RML459203 RCP459203 QST459203 QIX459203 PZB459203 PPF459203 PFJ459203 OVN459203 OLR459203 OBV459203 NRZ459203 NID459203 MYH459203 MOL459203 MEP459203 LUT459203 LKX459203 LBB459203 KRF459203 KHJ459203 JXN459203 JNR459203 JDV459203 ITZ459203 IKD459203 IAH459203 HQL459203 HGP459203 GWT459203 GMX459203 GDB459203 FTF459203 FJJ459203 EZN459203 EPR459203 EFV459203 DVZ459203 DMD459203 DCH459203 CSL459203 CIP459203 BYT459203 BOX459203 BFB459203 AVF459203 ALJ459203 ABN459203 RR459203 HV459203 WUH393667 WKL393667 WAP393667 VQT393667 VGX393667 UXB393667 UNF393667 UDJ393667 TTN393667 TJR393667 SZV393667 SPZ393667 SGD393667 RWH393667 RML393667 RCP393667 QST393667 QIX393667 PZB393667 PPF393667 PFJ393667 OVN393667 OLR393667 OBV393667 NRZ393667 NID393667 MYH393667 MOL393667 MEP393667 LUT393667 LKX393667 LBB393667 KRF393667 KHJ393667 JXN393667 JNR393667 JDV393667 ITZ393667 IKD393667 IAH393667 HQL393667 HGP393667 GWT393667 GMX393667 GDB393667 FTF393667 FJJ393667 EZN393667 EPR393667 EFV393667 DVZ393667 DMD393667 DCH393667 CSL393667 CIP393667 BYT393667 BOX393667 BFB393667 AVF393667 ALJ393667 ABN393667 RR393667 HV393667 WUH328131 WKL328131 WAP328131 VQT328131 VGX328131 UXB328131 UNF328131 UDJ328131 TTN328131 TJR328131 SZV328131 SPZ328131 SGD328131 RWH328131 RML328131 RCP328131 QST328131 QIX328131 PZB328131 PPF328131 PFJ328131 OVN328131 OLR328131 OBV328131 NRZ328131 NID328131 MYH328131 MOL328131 MEP328131 LUT328131 LKX328131 LBB328131 KRF328131 KHJ328131 JXN328131 JNR328131 JDV328131 ITZ328131 IKD328131 IAH328131 HQL328131 HGP328131 GWT328131 GMX328131 GDB328131 FTF328131 FJJ328131 EZN328131 EPR328131 EFV328131 DVZ328131 DMD328131 DCH328131 CSL328131 CIP328131 BYT328131 BOX328131 BFB328131 AVF328131 ALJ328131 ABN328131 RR328131 HV328131 WUH262595 WKL262595 WAP262595 VQT262595 VGX262595 UXB262595 UNF262595 UDJ262595 TTN262595 TJR262595 SZV262595 SPZ262595 SGD262595 RWH262595 RML262595 RCP262595 QST262595 QIX262595 PZB262595 PPF262595 PFJ262595 OVN262595 OLR262595 OBV262595 NRZ262595 NID262595 MYH262595 MOL262595 MEP262595 LUT262595 LKX262595 LBB262595 KRF262595 KHJ262595 JXN262595 JNR262595 JDV262595 ITZ262595 IKD262595 IAH262595 HQL262595 HGP262595 GWT262595 GMX262595 GDB262595 FTF262595 FJJ262595 EZN262595 EPR262595 EFV262595 DVZ262595 DMD262595 DCH262595 CSL262595 CIP262595 BYT262595 BOX262595 BFB262595 AVF262595 ALJ262595 ABN262595 RR262595 HV262595 WUH197059 WKL197059 WAP197059 VQT197059 VGX197059 UXB197059 UNF197059 UDJ197059 TTN197059 TJR197059 SZV197059 SPZ197059 SGD197059 RWH197059 RML197059 RCP197059 QST197059 QIX197059 PZB197059 PPF197059 PFJ197059 OVN197059 OLR197059 OBV197059 NRZ197059 NID197059 MYH197059 MOL197059 MEP197059 LUT197059 LKX197059 LBB197059 KRF197059 KHJ197059 JXN197059 JNR197059 JDV197059 ITZ197059 IKD197059 IAH197059 HQL197059 HGP197059 GWT197059 GMX197059 GDB197059 FTF197059 FJJ197059 EZN197059 EPR197059 EFV197059 DVZ197059 DMD197059 DCH197059 CSL197059 CIP197059 BYT197059 BOX197059 BFB197059 AVF197059 ALJ197059 ABN197059 RR197059 HV197059 WUH131523 WKL131523 WAP131523 VQT131523 VGX131523 UXB131523 UNF131523 UDJ131523 TTN131523 TJR131523 SZV131523 SPZ131523 SGD131523 RWH131523 RML131523 RCP131523 QST131523 QIX131523 PZB131523 PPF131523 PFJ131523 OVN131523 OLR131523 OBV131523 NRZ131523 NID131523 MYH131523 MOL131523 MEP131523 LUT131523 LKX131523 LBB131523 KRF131523 KHJ131523 JXN131523 JNR131523 JDV131523 ITZ131523 IKD131523 IAH131523 HQL131523 HGP131523 GWT131523 GMX131523 GDB131523 FTF131523 FJJ131523 EZN131523 EPR131523 EFV131523 DVZ131523 DMD131523 DCH131523 CSL131523 CIP131523 BYT131523 BOX131523 BFB131523 AVF131523 ALJ131523 ABN131523 RR131523 HV131523 WUH65987 WKL65987 WAP65987 VQT65987 VGX65987 UXB65987 UNF65987 UDJ65987 TTN65987 TJR65987 SZV65987 SPZ65987 SGD65987 RWH65987 RML65987 RCP65987 QST65987 QIX65987 PZB65987 PPF65987 PFJ65987 OVN65987 OLR65987 OBV65987 NRZ65987 NID65987 MYH65987 MOL65987 MEP65987 LUT65987 LKX65987 LBB65987 KRF65987 KHJ65987 JXN65987 JNR65987 JDV65987 ITZ65987 IKD65987 IAH65987 HQL65987 HGP65987 GWT65987 GMX65987 GDB65987 FTF65987 FJJ65987 EZN65987 EPR65987 EFV65987 DVZ65987 DMD65987 DCH65987 CSL65987 CIP65987 BYT65987 BOX65987 BFB65987 AVF65987 ALJ65987 ABN65987 RR65987 HV592 RR592 ABN592 ALJ592 AVF592 BFB592 BOX592 BYT592 CIP592 CSL592 DCH592 DMD592 DVZ592 EFV592 EPR592 EZN592 FJJ592 FTF592 GDB592 GMX592 GWT592 HGP592 HQL592 IAH592 IKD592 ITZ592 JDV592 JNR592 JXN592 KHJ592 KRF592 LBB592 LKX592 LUT592 MEP592 MOL592 MYH592 NID592 NRZ592 OBV592 OLR592 OVN592 PFJ592 PPF592 PZB592 QIX592 QST592 RCP592 RML592 RWH592 SGD592 SPZ592 SZV592 TJR592 TTN592 UDJ592 UNF592 UXB592 VGX592 VQT592 WAP592 WKL592 WUH592 HV476:HV481 WUH476:WUH481 WKL476:WKL481 WAP476:WAP481 VQT476:VQT481 VGX476:VGX481 UXB476:UXB481 UNF476:UNF481 UDJ476:UDJ481 TTN476:TTN481 TJR476:TJR481 SZV476:SZV481 SPZ476:SPZ481 SGD476:SGD481 RWH476:RWH481 RML476:RML481 RCP476:RCP481 QST476:QST481 QIX476:QIX481 PZB476:PZB481 PPF476:PPF481 PFJ476:PFJ481 OVN476:OVN481 OLR476:OLR481 OBV476:OBV481 NRZ476:NRZ481 NID476:NID481 MYH476:MYH481 MOL476:MOL481 MEP476:MEP481 LUT476:LUT481 LKX476:LKX481 LBB476:LBB481 KRF476:KRF481 KHJ476:KHJ481 JXN476:JXN481 JNR476:JNR481 JDV476:JDV481 ITZ476:ITZ481 IKD476:IKD481 IAH476:IAH481 HQL476:HQL481 HGP476:HGP481 GWT476:GWT481 GMX476:GMX481 GDB476:GDB481 FTF476:FTF481 FJJ476:FJJ481 EZN476:EZN481 EPR476:EPR481 EFV476:EFV481 DVZ476:DVZ481 DMD476:DMD481 DCH476:DCH481 CSL476:CSL481 CIP476:CIP481 BYT476:BYT481 BOX476:BOX481 BFB476:BFB481 AVF476:AVF481 ALJ476:ALJ481 ABN476:ABN481 RR476:RR481 HV260 RR260 ABN260 ALJ260 AVF260 BFB260 BOX260 BYT260 CIP260 CSL260 DCH260 DMD260 DVZ260 EFV260 EPR260 EZN260 FJJ260 FTF260 GDB260 GMX260 GWT260 HGP260 HQL260 IAH260 IKD260 ITZ260 JDV260 JNR260 JXN260 KHJ260 KRF260 LBB260 LKX260 LUT260 MEP260 MOL260 MYH260 NID260 NRZ260 OBV260 OLR260 OVN260 PFJ260 PPF260 PZB260 QIX260 QST260 RCP260 RML260 RWH260 SGD260 SPZ260 SZV260 TJR260 TTN260 UDJ260 UNF260 UXB260 VGX260 VQT260 WAP260 WKL260 WUH260 WUH26 WKL26 WAP26 VQT26 VGX26 UXB26 UNF26 UDJ26 TTN26 TJR26 SZV26 SPZ26 SGD26 RWH26 RML26 RCP26 QST26 QIX26 PZB26 PPF26 PFJ26 OVN26 OLR26 OBV26 NRZ26 NID26 MYH26 MOL26 MEP26 LUT26 LKX26 LBB26 KRF26 KHJ26 JXN26 JNR26 JDV26 ITZ26 IKD26 IAH26 HQL26 HGP26 GWT26 GMX26 GDB26 FTF26 FJJ26 EZN26 EPR26 EFV26 DVZ26 DMD26 DCH26 CSL26 CIP26 BYT26 BOX26 BFB26 AVF26 ALJ26 ABN26 RR26 HV26">
      <formula1>11</formula1>
    </dataValidation>
  </dataValidations>
  <pageMargins left="0" right="0" top="0" bottom="0" header="0.31496062992125984" footer="0.31496062992125984"/>
  <pageSetup paperSize="9" scale="43" fitToWidth="2" fitToHeight="0" orientation="landscape" r:id="rId1"/>
  <colBreaks count="1" manualBreakCount="1">
    <brk id="13" max="877"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Form</xm:f>
          </x14:formula1>
          <xm:sqref>HQ66317 WUC983800:WUC983806 WKG983800:WKG983806 WAK983800:WAK983806 VQO983800:VQO983806 VGS983800:VGS983806 UWW983800:UWW983806 UNA983800:UNA983806 UDE983800:UDE983806 TTI983800:TTI983806 TJM983800:TJM983806 SZQ983800:SZQ983806 SPU983800:SPU983806 SFY983800:SFY983806 RWC983800:RWC983806 RMG983800:RMG983806 RCK983800:RCK983806 QSO983800:QSO983806 QIS983800:QIS983806 PYW983800:PYW983806 PPA983800:PPA983806 PFE983800:PFE983806 OVI983800:OVI983806 OLM983800:OLM983806 OBQ983800:OBQ983806 NRU983800:NRU983806 NHY983800:NHY983806 MYC983800:MYC983806 MOG983800:MOG983806 MEK983800:MEK983806 LUO983800:LUO983806 LKS983800:LKS983806 LAW983800:LAW983806 KRA983800:KRA983806 KHE983800:KHE983806 JXI983800:JXI983806 JNM983800:JNM983806 JDQ983800:JDQ983806 ITU983800:ITU983806 IJY983800:IJY983806 IAC983800:IAC983806 HQG983800:HQG983806 HGK983800:HGK983806 GWO983800:GWO983806 GMS983800:GMS983806 GCW983800:GCW983806 FTA983800:FTA983806 FJE983800:FJE983806 EZI983800:EZI983806 EPM983800:EPM983806 EFQ983800:EFQ983806 DVU983800:DVU983806 DLY983800:DLY983806 DCC983800:DCC983806 CSG983800:CSG983806 CIK983800:CIK983806 BYO983800:BYO983806 BOS983800:BOS983806 BEW983800:BEW983806 AVA983800:AVA983806 ALE983800:ALE983806 ABI983800:ABI983806 RM983800:RM983806 HQ983800:HQ983806 WUC918264:WUC918270 WKG918264:WKG918270 WAK918264:WAK918270 VQO918264:VQO918270 VGS918264:VGS918270 UWW918264:UWW918270 UNA918264:UNA918270 UDE918264:UDE918270 TTI918264:TTI918270 TJM918264:TJM918270 SZQ918264:SZQ918270 SPU918264:SPU918270 SFY918264:SFY918270 RWC918264:RWC918270 RMG918264:RMG918270 RCK918264:RCK918270 QSO918264:QSO918270 QIS918264:QIS918270 PYW918264:PYW918270 PPA918264:PPA918270 PFE918264:PFE918270 OVI918264:OVI918270 OLM918264:OLM918270 OBQ918264:OBQ918270 NRU918264:NRU918270 NHY918264:NHY918270 MYC918264:MYC918270 MOG918264:MOG918270 MEK918264:MEK918270 LUO918264:LUO918270 LKS918264:LKS918270 LAW918264:LAW918270 KRA918264:KRA918270 KHE918264:KHE918270 JXI918264:JXI918270 JNM918264:JNM918270 JDQ918264:JDQ918270 ITU918264:ITU918270 IJY918264:IJY918270 IAC918264:IAC918270 HQG918264:HQG918270 HGK918264:HGK918270 GWO918264:GWO918270 GMS918264:GMS918270 GCW918264:GCW918270 FTA918264:FTA918270 FJE918264:FJE918270 EZI918264:EZI918270 EPM918264:EPM918270 EFQ918264:EFQ918270 DVU918264:DVU918270 DLY918264:DLY918270 DCC918264:DCC918270 CSG918264:CSG918270 CIK918264:CIK918270 BYO918264:BYO918270 BOS918264:BOS918270 BEW918264:BEW918270 AVA918264:AVA918270 ALE918264:ALE918270 ABI918264:ABI918270 RM918264:RM918270 HQ918264:HQ918270 WUC852728:WUC852734 WKG852728:WKG852734 WAK852728:WAK852734 VQO852728:VQO852734 VGS852728:VGS852734 UWW852728:UWW852734 UNA852728:UNA852734 UDE852728:UDE852734 TTI852728:TTI852734 TJM852728:TJM852734 SZQ852728:SZQ852734 SPU852728:SPU852734 SFY852728:SFY852734 RWC852728:RWC852734 RMG852728:RMG852734 RCK852728:RCK852734 QSO852728:QSO852734 QIS852728:QIS852734 PYW852728:PYW852734 PPA852728:PPA852734 PFE852728:PFE852734 OVI852728:OVI852734 OLM852728:OLM852734 OBQ852728:OBQ852734 NRU852728:NRU852734 NHY852728:NHY852734 MYC852728:MYC852734 MOG852728:MOG852734 MEK852728:MEK852734 LUO852728:LUO852734 LKS852728:LKS852734 LAW852728:LAW852734 KRA852728:KRA852734 KHE852728:KHE852734 JXI852728:JXI852734 JNM852728:JNM852734 JDQ852728:JDQ852734 ITU852728:ITU852734 IJY852728:IJY852734 IAC852728:IAC852734 HQG852728:HQG852734 HGK852728:HGK852734 GWO852728:GWO852734 GMS852728:GMS852734 GCW852728:GCW852734 FTA852728:FTA852734 FJE852728:FJE852734 EZI852728:EZI852734 EPM852728:EPM852734 EFQ852728:EFQ852734 DVU852728:DVU852734 DLY852728:DLY852734 DCC852728:DCC852734 CSG852728:CSG852734 CIK852728:CIK852734 BYO852728:BYO852734 BOS852728:BOS852734 BEW852728:BEW852734 AVA852728:AVA852734 ALE852728:ALE852734 ABI852728:ABI852734 RM852728:RM852734 HQ852728:HQ852734 WUC787192:WUC787198 WKG787192:WKG787198 WAK787192:WAK787198 VQO787192:VQO787198 VGS787192:VGS787198 UWW787192:UWW787198 UNA787192:UNA787198 UDE787192:UDE787198 TTI787192:TTI787198 TJM787192:TJM787198 SZQ787192:SZQ787198 SPU787192:SPU787198 SFY787192:SFY787198 RWC787192:RWC787198 RMG787192:RMG787198 RCK787192:RCK787198 QSO787192:QSO787198 QIS787192:QIS787198 PYW787192:PYW787198 PPA787192:PPA787198 PFE787192:PFE787198 OVI787192:OVI787198 OLM787192:OLM787198 OBQ787192:OBQ787198 NRU787192:NRU787198 NHY787192:NHY787198 MYC787192:MYC787198 MOG787192:MOG787198 MEK787192:MEK787198 LUO787192:LUO787198 LKS787192:LKS787198 LAW787192:LAW787198 KRA787192:KRA787198 KHE787192:KHE787198 JXI787192:JXI787198 JNM787192:JNM787198 JDQ787192:JDQ787198 ITU787192:ITU787198 IJY787192:IJY787198 IAC787192:IAC787198 HQG787192:HQG787198 HGK787192:HGK787198 GWO787192:GWO787198 GMS787192:GMS787198 GCW787192:GCW787198 FTA787192:FTA787198 FJE787192:FJE787198 EZI787192:EZI787198 EPM787192:EPM787198 EFQ787192:EFQ787198 DVU787192:DVU787198 DLY787192:DLY787198 DCC787192:DCC787198 CSG787192:CSG787198 CIK787192:CIK787198 BYO787192:BYO787198 BOS787192:BOS787198 BEW787192:BEW787198 AVA787192:AVA787198 ALE787192:ALE787198 ABI787192:ABI787198 RM787192:RM787198 HQ787192:HQ787198 WUC721656:WUC721662 WKG721656:WKG721662 WAK721656:WAK721662 VQO721656:VQO721662 VGS721656:VGS721662 UWW721656:UWW721662 UNA721656:UNA721662 UDE721656:UDE721662 TTI721656:TTI721662 TJM721656:TJM721662 SZQ721656:SZQ721662 SPU721656:SPU721662 SFY721656:SFY721662 RWC721656:RWC721662 RMG721656:RMG721662 RCK721656:RCK721662 QSO721656:QSO721662 QIS721656:QIS721662 PYW721656:PYW721662 PPA721656:PPA721662 PFE721656:PFE721662 OVI721656:OVI721662 OLM721656:OLM721662 OBQ721656:OBQ721662 NRU721656:NRU721662 NHY721656:NHY721662 MYC721656:MYC721662 MOG721656:MOG721662 MEK721656:MEK721662 LUO721656:LUO721662 LKS721656:LKS721662 LAW721656:LAW721662 KRA721656:KRA721662 KHE721656:KHE721662 JXI721656:JXI721662 JNM721656:JNM721662 JDQ721656:JDQ721662 ITU721656:ITU721662 IJY721656:IJY721662 IAC721656:IAC721662 HQG721656:HQG721662 HGK721656:HGK721662 GWO721656:GWO721662 GMS721656:GMS721662 GCW721656:GCW721662 FTA721656:FTA721662 FJE721656:FJE721662 EZI721656:EZI721662 EPM721656:EPM721662 EFQ721656:EFQ721662 DVU721656:DVU721662 DLY721656:DLY721662 DCC721656:DCC721662 CSG721656:CSG721662 CIK721656:CIK721662 BYO721656:BYO721662 BOS721656:BOS721662 BEW721656:BEW721662 AVA721656:AVA721662 ALE721656:ALE721662 ABI721656:ABI721662 RM721656:RM721662 HQ721656:HQ721662 WUC656120:WUC656126 WKG656120:WKG656126 WAK656120:WAK656126 VQO656120:VQO656126 VGS656120:VGS656126 UWW656120:UWW656126 UNA656120:UNA656126 UDE656120:UDE656126 TTI656120:TTI656126 TJM656120:TJM656126 SZQ656120:SZQ656126 SPU656120:SPU656126 SFY656120:SFY656126 RWC656120:RWC656126 RMG656120:RMG656126 RCK656120:RCK656126 QSO656120:QSO656126 QIS656120:QIS656126 PYW656120:PYW656126 PPA656120:PPA656126 PFE656120:PFE656126 OVI656120:OVI656126 OLM656120:OLM656126 OBQ656120:OBQ656126 NRU656120:NRU656126 NHY656120:NHY656126 MYC656120:MYC656126 MOG656120:MOG656126 MEK656120:MEK656126 LUO656120:LUO656126 LKS656120:LKS656126 LAW656120:LAW656126 KRA656120:KRA656126 KHE656120:KHE656126 JXI656120:JXI656126 JNM656120:JNM656126 JDQ656120:JDQ656126 ITU656120:ITU656126 IJY656120:IJY656126 IAC656120:IAC656126 HQG656120:HQG656126 HGK656120:HGK656126 GWO656120:GWO656126 GMS656120:GMS656126 GCW656120:GCW656126 FTA656120:FTA656126 FJE656120:FJE656126 EZI656120:EZI656126 EPM656120:EPM656126 EFQ656120:EFQ656126 DVU656120:DVU656126 DLY656120:DLY656126 DCC656120:DCC656126 CSG656120:CSG656126 CIK656120:CIK656126 BYO656120:BYO656126 BOS656120:BOS656126 BEW656120:BEW656126 AVA656120:AVA656126 ALE656120:ALE656126 ABI656120:ABI656126 RM656120:RM656126 HQ656120:HQ656126 WUC590584:WUC590590 WKG590584:WKG590590 WAK590584:WAK590590 VQO590584:VQO590590 VGS590584:VGS590590 UWW590584:UWW590590 UNA590584:UNA590590 UDE590584:UDE590590 TTI590584:TTI590590 TJM590584:TJM590590 SZQ590584:SZQ590590 SPU590584:SPU590590 SFY590584:SFY590590 RWC590584:RWC590590 RMG590584:RMG590590 RCK590584:RCK590590 QSO590584:QSO590590 QIS590584:QIS590590 PYW590584:PYW590590 PPA590584:PPA590590 PFE590584:PFE590590 OVI590584:OVI590590 OLM590584:OLM590590 OBQ590584:OBQ590590 NRU590584:NRU590590 NHY590584:NHY590590 MYC590584:MYC590590 MOG590584:MOG590590 MEK590584:MEK590590 LUO590584:LUO590590 LKS590584:LKS590590 LAW590584:LAW590590 KRA590584:KRA590590 KHE590584:KHE590590 JXI590584:JXI590590 JNM590584:JNM590590 JDQ590584:JDQ590590 ITU590584:ITU590590 IJY590584:IJY590590 IAC590584:IAC590590 HQG590584:HQG590590 HGK590584:HGK590590 GWO590584:GWO590590 GMS590584:GMS590590 GCW590584:GCW590590 FTA590584:FTA590590 FJE590584:FJE590590 EZI590584:EZI590590 EPM590584:EPM590590 EFQ590584:EFQ590590 DVU590584:DVU590590 DLY590584:DLY590590 DCC590584:DCC590590 CSG590584:CSG590590 CIK590584:CIK590590 BYO590584:BYO590590 BOS590584:BOS590590 BEW590584:BEW590590 AVA590584:AVA590590 ALE590584:ALE590590 ABI590584:ABI590590 RM590584:RM590590 HQ590584:HQ590590 WUC525048:WUC525054 WKG525048:WKG525054 WAK525048:WAK525054 VQO525048:VQO525054 VGS525048:VGS525054 UWW525048:UWW525054 UNA525048:UNA525054 UDE525048:UDE525054 TTI525048:TTI525054 TJM525048:TJM525054 SZQ525048:SZQ525054 SPU525048:SPU525054 SFY525048:SFY525054 RWC525048:RWC525054 RMG525048:RMG525054 RCK525048:RCK525054 QSO525048:QSO525054 QIS525048:QIS525054 PYW525048:PYW525054 PPA525048:PPA525054 PFE525048:PFE525054 OVI525048:OVI525054 OLM525048:OLM525054 OBQ525048:OBQ525054 NRU525048:NRU525054 NHY525048:NHY525054 MYC525048:MYC525054 MOG525048:MOG525054 MEK525048:MEK525054 LUO525048:LUO525054 LKS525048:LKS525054 LAW525048:LAW525054 KRA525048:KRA525054 KHE525048:KHE525054 JXI525048:JXI525054 JNM525048:JNM525054 JDQ525048:JDQ525054 ITU525048:ITU525054 IJY525048:IJY525054 IAC525048:IAC525054 HQG525048:HQG525054 HGK525048:HGK525054 GWO525048:GWO525054 GMS525048:GMS525054 GCW525048:GCW525054 FTA525048:FTA525054 FJE525048:FJE525054 EZI525048:EZI525054 EPM525048:EPM525054 EFQ525048:EFQ525054 DVU525048:DVU525054 DLY525048:DLY525054 DCC525048:DCC525054 CSG525048:CSG525054 CIK525048:CIK525054 BYO525048:BYO525054 BOS525048:BOS525054 BEW525048:BEW525054 AVA525048:AVA525054 ALE525048:ALE525054 ABI525048:ABI525054 RM525048:RM525054 HQ525048:HQ525054 WUC459512:WUC459518 WKG459512:WKG459518 WAK459512:WAK459518 VQO459512:VQO459518 VGS459512:VGS459518 UWW459512:UWW459518 UNA459512:UNA459518 UDE459512:UDE459518 TTI459512:TTI459518 TJM459512:TJM459518 SZQ459512:SZQ459518 SPU459512:SPU459518 SFY459512:SFY459518 RWC459512:RWC459518 RMG459512:RMG459518 RCK459512:RCK459518 QSO459512:QSO459518 QIS459512:QIS459518 PYW459512:PYW459518 PPA459512:PPA459518 PFE459512:PFE459518 OVI459512:OVI459518 OLM459512:OLM459518 OBQ459512:OBQ459518 NRU459512:NRU459518 NHY459512:NHY459518 MYC459512:MYC459518 MOG459512:MOG459518 MEK459512:MEK459518 LUO459512:LUO459518 LKS459512:LKS459518 LAW459512:LAW459518 KRA459512:KRA459518 KHE459512:KHE459518 JXI459512:JXI459518 JNM459512:JNM459518 JDQ459512:JDQ459518 ITU459512:ITU459518 IJY459512:IJY459518 IAC459512:IAC459518 HQG459512:HQG459518 HGK459512:HGK459518 GWO459512:GWO459518 GMS459512:GMS459518 GCW459512:GCW459518 FTA459512:FTA459518 FJE459512:FJE459518 EZI459512:EZI459518 EPM459512:EPM459518 EFQ459512:EFQ459518 DVU459512:DVU459518 DLY459512:DLY459518 DCC459512:DCC459518 CSG459512:CSG459518 CIK459512:CIK459518 BYO459512:BYO459518 BOS459512:BOS459518 BEW459512:BEW459518 AVA459512:AVA459518 ALE459512:ALE459518 ABI459512:ABI459518 RM459512:RM459518 HQ459512:HQ459518 WUC393976:WUC393982 WKG393976:WKG393982 WAK393976:WAK393982 VQO393976:VQO393982 VGS393976:VGS393982 UWW393976:UWW393982 UNA393976:UNA393982 UDE393976:UDE393982 TTI393976:TTI393982 TJM393976:TJM393982 SZQ393976:SZQ393982 SPU393976:SPU393982 SFY393976:SFY393982 RWC393976:RWC393982 RMG393976:RMG393982 RCK393976:RCK393982 QSO393976:QSO393982 QIS393976:QIS393982 PYW393976:PYW393982 PPA393976:PPA393982 PFE393976:PFE393982 OVI393976:OVI393982 OLM393976:OLM393982 OBQ393976:OBQ393982 NRU393976:NRU393982 NHY393976:NHY393982 MYC393976:MYC393982 MOG393976:MOG393982 MEK393976:MEK393982 LUO393976:LUO393982 LKS393976:LKS393982 LAW393976:LAW393982 KRA393976:KRA393982 KHE393976:KHE393982 JXI393976:JXI393982 JNM393976:JNM393982 JDQ393976:JDQ393982 ITU393976:ITU393982 IJY393976:IJY393982 IAC393976:IAC393982 HQG393976:HQG393982 HGK393976:HGK393982 GWO393976:GWO393982 GMS393976:GMS393982 GCW393976:GCW393982 FTA393976:FTA393982 FJE393976:FJE393982 EZI393976:EZI393982 EPM393976:EPM393982 EFQ393976:EFQ393982 DVU393976:DVU393982 DLY393976:DLY393982 DCC393976:DCC393982 CSG393976:CSG393982 CIK393976:CIK393982 BYO393976:BYO393982 BOS393976:BOS393982 BEW393976:BEW393982 AVA393976:AVA393982 ALE393976:ALE393982 ABI393976:ABI393982 RM393976:RM393982 HQ393976:HQ393982 WUC328440:WUC328446 WKG328440:WKG328446 WAK328440:WAK328446 VQO328440:VQO328446 VGS328440:VGS328446 UWW328440:UWW328446 UNA328440:UNA328446 UDE328440:UDE328446 TTI328440:TTI328446 TJM328440:TJM328446 SZQ328440:SZQ328446 SPU328440:SPU328446 SFY328440:SFY328446 RWC328440:RWC328446 RMG328440:RMG328446 RCK328440:RCK328446 QSO328440:QSO328446 QIS328440:QIS328446 PYW328440:PYW328446 PPA328440:PPA328446 PFE328440:PFE328446 OVI328440:OVI328446 OLM328440:OLM328446 OBQ328440:OBQ328446 NRU328440:NRU328446 NHY328440:NHY328446 MYC328440:MYC328446 MOG328440:MOG328446 MEK328440:MEK328446 LUO328440:LUO328446 LKS328440:LKS328446 LAW328440:LAW328446 KRA328440:KRA328446 KHE328440:KHE328446 JXI328440:JXI328446 JNM328440:JNM328446 JDQ328440:JDQ328446 ITU328440:ITU328446 IJY328440:IJY328446 IAC328440:IAC328446 HQG328440:HQG328446 HGK328440:HGK328446 GWO328440:GWO328446 GMS328440:GMS328446 GCW328440:GCW328446 FTA328440:FTA328446 FJE328440:FJE328446 EZI328440:EZI328446 EPM328440:EPM328446 EFQ328440:EFQ328446 DVU328440:DVU328446 DLY328440:DLY328446 DCC328440:DCC328446 CSG328440:CSG328446 CIK328440:CIK328446 BYO328440:BYO328446 BOS328440:BOS328446 BEW328440:BEW328446 AVA328440:AVA328446 ALE328440:ALE328446 ABI328440:ABI328446 RM328440:RM328446 HQ328440:HQ328446 WUC262904:WUC262910 WKG262904:WKG262910 WAK262904:WAK262910 VQO262904:VQO262910 VGS262904:VGS262910 UWW262904:UWW262910 UNA262904:UNA262910 UDE262904:UDE262910 TTI262904:TTI262910 TJM262904:TJM262910 SZQ262904:SZQ262910 SPU262904:SPU262910 SFY262904:SFY262910 RWC262904:RWC262910 RMG262904:RMG262910 RCK262904:RCK262910 QSO262904:QSO262910 QIS262904:QIS262910 PYW262904:PYW262910 PPA262904:PPA262910 PFE262904:PFE262910 OVI262904:OVI262910 OLM262904:OLM262910 OBQ262904:OBQ262910 NRU262904:NRU262910 NHY262904:NHY262910 MYC262904:MYC262910 MOG262904:MOG262910 MEK262904:MEK262910 LUO262904:LUO262910 LKS262904:LKS262910 LAW262904:LAW262910 KRA262904:KRA262910 KHE262904:KHE262910 JXI262904:JXI262910 JNM262904:JNM262910 JDQ262904:JDQ262910 ITU262904:ITU262910 IJY262904:IJY262910 IAC262904:IAC262910 HQG262904:HQG262910 HGK262904:HGK262910 GWO262904:GWO262910 GMS262904:GMS262910 GCW262904:GCW262910 FTA262904:FTA262910 FJE262904:FJE262910 EZI262904:EZI262910 EPM262904:EPM262910 EFQ262904:EFQ262910 DVU262904:DVU262910 DLY262904:DLY262910 DCC262904:DCC262910 CSG262904:CSG262910 CIK262904:CIK262910 BYO262904:BYO262910 BOS262904:BOS262910 BEW262904:BEW262910 AVA262904:AVA262910 ALE262904:ALE262910 ABI262904:ABI262910 RM262904:RM262910 HQ262904:HQ262910 WUC197368:WUC197374 WKG197368:WKG197374 WAK197368:WAK197374 VQO197368:VQO197374 VGS197368:VGS197374 UWW197368:UWW197374 UNA197368:UNA197374 UDE197368:UDE197374 TTI197368:TTI197374 TJM197368:TJM197374 SZQ197368:SZQ197374 SPU197368:SPU197374 SFY197368:SFY197374 RWC197368:RWC197374 RMG197368:RMG197374 RCK197368:RCK197374 QSO197368:QSO197374 QIS197368:QIS197374 PYW197368:PYW197374 PPA197368:PPA197374 PFE197368:PFE197374 OVI197368:OVI197374 OLM197368:OLM197374 OBQ197368:OBQ197374 NRU197368:NRU197374 NHY197368:NHY197374 MYC197368:MYC197374 MOG197368:MOG197374 MEK197368:MEK197374 LUO197368:LUO197374 LKS197368:LKS197374 LAW197368:LAW197374 KRA197368:KRA197374 KHE197368:KHE197374 JXI197368:JXI197374 JNM197368:JNM197374 JDQ197368:JDQ197374 ITU197368:ITU197374 IJY197368:IJY197374 IAC197368:IAC197374 HQG197368:HQG197374 HGK197368:HGK197374 GWO197368:GWO197374 GMS197368:GMS197374 GCW197368:GCW197374 FTA197368:FTA197374 FJE197368:FJE197374 EZI197368:EZI197374 EPM197368:EPM197374 EFQ197368:EFQ197374 DVU197368:DVU197374 DLY197368:DLY197374 DCC197368:DCC197374 CSG197368:CSG197374 CIK197368:CIK197374 BYO197368:BYO197374 BOS197368:BOS197374 BEW197368:BEW197374 AVA197368:AVA197374 ALE197368:ALE197374 ABI197368:ABI197374 RM197368:RM197374 HQ197368:HQ197374 WUC131832:WUC131838 WKG131832:WKG131838 WAK131832:WAK131838 VQO131832:VQO131838 VGS131832:VGS131838 UWW131832:UWW131838 UNA131832:UNA131838 UDE131832:UDE131838 TTI131832:TTI131838 TJM131832:TJM131838 SZQ131832:SZQ131838 SPU131832:SPU131838 SFY131832:SFY131838 RWC131832:RWC131838 RMG131832:RMG131838 RCK131832:RCK131838 QSO131832:QSO131838 QIS131832:QIS131838 PYW131832:PYW131838 PPA131832:PPA131838 PFE131832:PFE131838 OVI131832:OVI131838 OLM131832:OLM131838 OBQ131832:OBQ131838 NRU131832:NRU131838 NHY131832:NHY131838 MYC131832:MYC131838 MOG131832:MOG131838 MEK131832:MEK131838 LUO131832:LUO131838 LKS131832:LKS131838 LAW131832:LAW131838 KRA131832:KRA131838 KHE131832:KHE131838 JXI131832:JXI131838 JNM131832:JNM131838 JDQ131832:JDQ131838 ITU131832:ITU131838 IJY131832:IJY131838 IAC131832:IAC131838 HQG131832:HQG131838 HGK131832:HGK131838 GWO131832:GWO131838 GMS131832:GMS131838 GCW131832:GCW131838 FTA131832:FTA131838 FJE131832:FJE131838 EZI131832:EZI131838 EPM131832:EPM131838 EFQ131832:EFQ131838 DVU131832:DVU131838 DLY131832:DLY131838 DCC131832:DCC131838 CSG131832:CSG131838 CIK131832:CIK131838 BYO131832:BYO131838 BOS131832:BOS131838 BEW131832:BEW131838 AVA131832:AVA131838 ALE131832:ALE131838 ABI131832:ABI131838 RM131832:RM131838 HQ131832:HQ131838 WUC66296:WUC66302 WKG66296:WKG66302 WAK66296:WAK66302 VQO66296:VQO66302 VGS66296:VGS66302 UWW66296:UWW66302 UNA66296:UNA66302 UDE66296:UDE66302 TTI66296:TTI66302 TJM66296:TJM66302 SZQ66296:SZQ66302 SPU66296:SPU66302 SFY66296:SFY66302 RWC66296:RWC66302 RMG66296:RMG66302 RCK66296:RCK66302 QSO66296:QSO66302 QIS66296:QIS66302 PYW66296:PYW66302 PPA66296:PPA66302 PFE66296:PFE66302 OVI66296:OVI66302 OLM66296:OLM66302 OBQ66296:OBQ66302 NRU66296:NRU66302 NHY66296:NHY66302 MYC66296:MYC66302 MOG66296:MOG66302 MEK66296:MEK66302 LUO66296:LUO66302 LKS66296:LKS66302 LAW66296:LAW66302 KRA66296:KRA66302 KHE66296:KHE66302 JXI66296:JXI66302 JNM66296:JNM66302 JDQ66296:JDQ66302 ITU66296:ITU66302 IJY66296:IJY66302 IAC66296:IAC66302 HQG66296:HQG66302 HGK66296:HGK66302 GWO66296:GWO66302 GMS66296:GMS66302 GCW66296:GCW66302 FTA66296:FTA66302 FJE66296:FJE66302 EZI66296:EZI66302 EPM66296:EPM66302 EFQ66296:EFQ66302 DVU66296:DVU66302 DLY66296:DLY66302 DCC66296:DCC66302 CSG66296:CSG66302 CIK66296:CIK66302 BYO66296:BYO66302 BOS66296:BOS66302 BEW66296:BEW66302 AVA66296:AVA66302 ALE66296:ALE66302 ABI66296:ABI66302 RM66296:RM66302 HQ66296:HQ66302 WUC983763 WKG983763 WAK983763 VQO983763 VGS983763 UWW983763 UNA983763 UDE983763 TTI983763 TJM983763 SZQ983763 SPU983763 SFY983763 RWC983763 RMG983763 RCK983763 QSO983763 QIS983763 PYW983763 PPA983763 PFE983763 OVI983763 OLM983763 OBQ983763 NRU983763 NHY983763 MYC983763 MOG983763 MEK983763 LUO983763 LKS983763 LAW983763 KRA983763 KHE983763 JXI983763 JNM983763 JDQ983763 ITU983763 IJY983763 IAC983763 HQG983763 HGK983763 GWO983763 GMS983763 GCW983763 FTA983763 FJE983763 EZI983763 EPM983763 EFQ983763 DVU983763 DLY983763 DCC983763 CSG983763 CIK983763 BYO983763 BOS983763 BEW983763 AVA983763 ALE983763 ABI983763 RM983763 HQ983763 WUC918227 WKG918227 WAK918227 VQO918227 VGS918227 UWW918227 UNA918227 UDE918227 TTI918227 TJM918227 SZQ918227 SPU918227 SFY918227 RWC918227 RMG918227 RCK918227 QSO918227 QIS918227 PYW918227 PPA918227 PFE918227 OVI918227 OLM918227 OBQ918227 NRU918227 NHY918227 MYC918227 MOG918227 MEK918227 LUO918227 LKS918227 LAW918227 KRA918227 KHE918227 JXI918227 JNM918227 JDQ918227 ITU918227 IJY918227 IAC918227 HQG918227 HGK918227 GWO918227 GMS918227 GCW918227 FTA918227 FJE918227 EZI918227 EPM918227 EFQ918227 DVU918227 DLY918227 DCC918227 CSG918227 CIK918227 BYO918227 BOS918227 BEW918227 AVA918227 ALE918227 ABI918227 RM918227 HQ918227 WUC852691 WKG852691 WAK852691 VQO852691 VGS852691 UWW852691 UNA852691 UDE852691 TTI852691 TJM852691 SZQ852691 SPU852691 SFY852691 RWC852691 RMG852691 RCK852691 QSO852691 QIS852691 PYW852691 PPA852691 PFE852691 OVI852691 OLM852691 OBQ852691 NRU852691 NHY852691 MYC852691 MOG852691 MEK852691 LUO852691 LKS852691 LAW852691 KRA852691 KHE852691 JXI852691 JNM852691 JDQ852691 ITU852691 IJY852691 IAC852691 HQG852691 HGK852691 GWO852691 GMS852691 GCW852691 FTA852691 FJE852691 EZI852691 EPM852691 EFQ852691 DVU852691 DLY852691 DCC852691 CSG852691 CIK852691 BYO852691 BOS852691 BEW852691 AVA852691 ALE852691 ABI852691 RM852691 HQ852691 WUC787155 WKG787155 WAK787155 VQO787155 VGS787155 UWW787155 UNA787155 UDE787155 TTI787155 TJM787155 SZQ787155 SPU787155 SFY787155 RWC787155 RMG787155 RCK787155 QSO787155 QIS787155 PYW787155 PPA787155 PFE787155 OVI787155 OLM787155 OBQ787155 NRU787155 NHY787155 MYC787155 MOG787155 MEK787155 LUO787155 LKS787155 LAW787155 KRA787155 KHE787155 JXI787155 JNM787155 JDQ787155 ITU787155 IJY787155 IAC787155 HQG787155 HGK787155 GWO787155 GMS787155 GCW787155 FTA787155 FJE787155 EZI787155 EPM787155 EFQ787155 DVU787155 DLY787155 DCC787155 CSG787155 CIK787155 BYO787155 BOS787155 BEW787155 AVA787155 ALE787155 ABI787155 RM787155 HQ787155 WUC721619 WKG721619 WAK721619 VQO721619 VGS721619 UWW721619 UNA721619 UDE721619 TTI721619 TJM721619 SZQ721619 SPU721619 SFY721619 RWC721619 RMG721619 RCK721619 QSO721619 QIS721619 PYW721619 PPA721619 PFE721619 OVI721619 OLM721619 OBQ721619 NRU721619 NHY721619 MYC721619 MOG721619 MEK721619 LUO721619 LKS721619 LAW721619 KRA721619 KHE721619 JXI721619 JNM721619 JDQ721619 ITU721619 IJY721619 IAC721619 HQG721619 HGK721619 GWO721619 GMS721619 GCW721619 FTA721619 FJE721619 EZI721619 EPM721619 EFQ721619 DVU721619 DLY721619 DCC721619 CSG721619 CIK721619 BYO721619 BOS721619 BEW721619 AVA721619 ALE721619 ABI721619 RM721619 HQ721619 WUC656083 WKG656083 WAK656083 VQO656083 VGS656083 UWW656083 UNA656083 UDE656083 TTI656083 TJM656083 SZQ656083 SPU656083 SFY656083 RWC656083 RMG656083 RCK656083 QSO656083 QIS656083 PYW656083 PPA656083 PFE656083 OVI656083 OLM656083 OBQ656083 NRU656083 NHY656083 MYC656083 MOG656083 MEK656083 LUO656083 LKS656083 LAW656083 KRA656083 KHE656083 JXI656083 JNM656083 JDQ656083 ITU656083 IJY656083 IAC656083 HQG656083 HGK656083 GWO656083 GMS656083 GCW656083 FTA656083 FJE656083 EZI656083 EPM656083 EFQ656083 DVU656083 DLY656083 DCC656083 CSG656083 CIK656083 BYO656083 BOS656083 BEW656083 AVA656083 ALE656083 ABI656083 RM656083 HQ656083 WUC590547 WKG590547 WAK590547 VQO590547 VGS590547 UWW590547 UNA590547 UDE590547 TTI590547 TJM590547 SZQ590547 SPU590547 SFY590547 RWC590547 RMG590547 RCK590547 QSO590547 QIS590547 PYW590547 PPA590547 PFE590547 OVI590547 OLM590547 OBQ590547 NRU590547 NHY590547 MYC590547 MOG590547 MEK590547 LUO590547 LKS590547 LAW590547 KRA590547 KHE590547 JXI590547 JNM590547 JDQ590547 ITU590547 IJY590547 IAC590547 HQG590547 HGK590547 GWO590547 GMS590547 GCW590547 FTA590547 FJE590547 EZI590547 EPM590547 EFQ590547 DVU590547 DLY590547 DCC590547 CSG590547 CIK590547 BYO590547 BOS590547 BEW590547 AVA590547 ALE590547 ABI590547 RM590547 HQ590547 WUC525011 WKG525011 WAK525011 VQO525011 VGS525011 UWW525011 UNA525011 UDE525011 TTI525011 TJM525011 SZQ525011 SPU525011 SFY525011 RWC525011 RMG525011 RCK525011 QSO525011 QIS525011 PYW525011 PPA525011 PFE525011 OVI525011 OLM525011 OBQ525011 NRU525011 NHY525011 MYC525011 MOG525011 MEK525011 LUO525011 LKS525011 LAW525011 KRA525011 KHE525011 JXI525011 JNM525011 JDQ525011 ITU525011 IJY525011 IAC525011 HQG525011 HGK525011 GWO525011 GMS525011 GCW525011 FTA525011 FJE525011 EZI525011 EPM525011 EFQ525011 DVU525011 DLY525011 DCC525011 CSG525011 CIK525011 BYO525011 BOS525011 BEW525011 AVA525011 ALE525011 ABI525011 RM525011 HQ525011 WUC459475 WKG459475 WAK459475 VQO459475 VGS459475 UWW459475 UNA459475 UDE459475 TTI459475 TJM459475 SZQ459475 SPU459475 SFY459475 RWC459475 RMG459475 RCK459475 QSO459475 QIS459475 PYW459475 PPA459475 PFE459475 OVI459475 OLM459475 OBQ459475 NRU459475 NHY459475 MYC459475 MOG459475 MEK459475 LUO459475 LKS459475 LAW459475 KRA459475 KHE459475 JXI459475 JNM459475 JDQ459475 ITU459475 IJY459475 IAC459475 HQG459475 HGK459475 GWO459475 GMS459475 GCW459475 FTA459475 FJE459475 EZI459475 EPM459475 EFQ459475 DVU459475 DLY459475 DCC459475 CSG459475 CIK459475 BYO459475 BOS459475 BEW459475 AVA459475 ALE459475 ABI459475 RM459475 HQ459475 WUC393939 WKG393939 WAK393939 VQO393939 VGS393939 UWW393939 UNA393939 UDE393939 TTI393939 TJM393939 SZQ393939 SPU393939 SFY393939 RWC393939 RMG393939 RCK393939 QSO393939 QIS393939 PYW393939 PPA393939 PFE393939 OVI393939 OLM393939 OBQ393939 NRU393939 NHY393939 MYC393939 MOG393939 MEK393939 LUO393939 LKS393939 LAW393939 KRA393939 KHE393939 JXI393939 JNM393939 JDQ393939 ITU393939 IJY393939 IAC393939 HQG393939 HGK393939 GWO393939 GMS393939 GCW393939 FTA393939 FJE393939 EZI393939 EPM393939 EFQ393939 DVU393939 DLY393939 DCC393939 CSG393939 CIK393939 BYO393939 BOS393939 BEW393939 AVA393939 ALE393939 ABI393939 RM393939 HQ393939 WUC328403 WKG328403 WAK328403 VQO328403 VGS328403 UWW328403 UNA328403 UDE328403 TTI328403 TJM328403 SZQ328403 SPU328403 SFY328403 RWC328403 RMG328403 RCK328403 QSO328403 QIS328403 PYW328403 PPA328403 PFE328403 OVI328403 OLM328403 OBQ328403 NRU328403 NHY328403 MYC328403 MOG328403 MEK328403 LUO328403 LKS328403 LAW328403 KRA328403 KHE328403 JXI328403 JNM328403 JDQ328403 ITU328403 IJY328403 IAC328403 HQG328403 HGK328403 GWO328403 GMS328403 GCW328403 FTA328403 FJE328403 EZI328403 EPM328403 EFQ328403 DVU328403 DLY328403 DCC328403 CSG328403 CIK328403 BYO328403 BOS328403 BEW328403 AVA328403 ALE328403 ABI328403 RM328403 HQ328403 WUC262867 WKG262867 WAK262867 VQO262867 VGS262867 UWW262867 UNA262867 UDE262867 TTI262867 TJM262867 SZQ262867 SPU262867 SFY262867 RWC262867 RMG262867 RCK262867 QSO262867 QIS262867 PYW262867 PPA262867 PFE262867 OVI262867 OLM262867 OBQ262867 NRU262867 NHY262867 MYC262867 MOG262867 MEK262867 LUO262867 LKS262867 LAW262867 KRA262867 KHE262867 JXI262867 JNM262867 JDQ262867 ITU262867 IJY262867 IAC262867 HQG262867 HGK262867 GWO262867 GMS262867 GCW262867 FTA262867 FJE262867 EZI262867 EPM262867 EFQ262867 DVU262867 DLY262867 DCC262867 CSG262867 CIK262867 BYO262867 BOS262867 BEW262867 AVA262867 ALE262867 ABI262867 RM262867 HQ262867 WUC197331 WKG197331 WAK197331 VQO197331 VGS197331 UWW197331 UNA197331 UDE197331 TTI197331 TJM197331 SZQ197331 SPU197331 SFY197331 RWC197331 RMG197331 RCK197331 QSO197331 QIS197331 PYW197331 PPA197331 PFE197331 OVI197331 OLM197331 OBQ197331 NRU197331 NHY197331 MYC197331 MOG197331 MEK197331 LUO197331 LKS197331 LAW197331 KRA197331 KHE197331 JXI197331 JNM197331 JDQ197331 ITU197331 IJY197331 IAC197331 HQG197331 HGK197331 GWO197331 GMS197331 GCW197331 FTA197331 FJE197331 EZI197331 EPM197331 EFQ197331 DVU197331 DLY197331 DCC197331 CSG197331 CIK197331 BYO197331 BOS197331 BEW197331 AVA197331 ALE197331 ABI197331 RM197331 HQ197331 WUC131795 WKG131795 WAK131795 VQO131795 VGS131795 UWW131795 UNA131795 UDE131795 TTI131795 TJM131795 SZQ131795 SPU131795 SFY131795 RWC131795 RMG131795 RCK131795 QSO131795 QIS131795 PYW131795 PPA131795 PFE131795 OVI131795 OLM131795 OBQ131795 NRU131795 NHY131795 MYC131795 MOG131795 MEK131795 LUO131795 LKS131795 LAW131795 KRA131795 KHE131795 JXI131795 JNM131795 JDQ131795 ITU131795 IJY131795 IAC131795 HQG131795 HGK131795 GWO131795 GMS131795 GCW131795 FTA131795 FJE131795 EZI131795 EPM131795 EFQ131795 DVU131795 DLY131795 DCC131795 CSG131795 CIK131795 BYO131795 BOS131795 BEW131795 AVA131795 ALE131795 ABI131795 RM131795 HQ131795 WUC66259 WKG66259 WAK66259 VQO66259 VGS66259 UWW66259 UNA66259 UDE66259 TTI66259 TJM66259 SZQ66259 SPU66259 SFY66259 RWC66259 RMG66259 RCK66259 QSO66259 QIS66259 PYW66259 PPA66259 PFE66259 OVI66259 OLM66259 OBQ66259 NRU66259 NHY66259 MYC66259 MOG66259 MEK66259 LUO66259 LKS66259 LAW66259 KRA66259 KHE66259 JXI66259 JNM66259 JDQ66259 ITU66259 IJY66259 IAC66259 HQG66259 HGK66259 GWO66259 GMS66259 GCW66259 FTA66259 FJE66259 EZI66259 EPM66259 EFQ66259 DVU66259 DLY66259 DCC66259 CSG66259 CIK66259 BYO66259 BOS66259 BEW66259 AVA66259 ALE66259 ABI66259 RM66259 HQ66259 WUC982813:WUC982818 WKG982813:WKG982818 WAK982813:WAK982818 VQO982813:VQO982818 VGS982813:VGS982818 UWW982813:UWW982818 UNA982813:UNA982818 UDE982813:UDE982818 TTI982813:TTI982818 TJM982813:TJM982818 SZQ982813:SZQ982818 SPU982813:SPU982818 SFY982813:SFY982818 RWC982813:RWC982818 RMG982813:RMG982818 RCK982813:RCK982818 QSO982813:QSO982818 QIS982813:QIS982818 PYW982813:PYW982818 PPA982813:PPA982818 PFE982813:PFE982818 OVI982813:OVI982818 OLM982813:OLM982818 OBQ982813:OBQ982818 NRU982813:NRU982818 NHY982813:NHY982818 MYC982813:MYC982818 MOG982813:MOG982818 MEK982813:MEK982818 LUO982813:LUO982818 LKS982813:LKS982818 LAW982813:LAW982818 KRA982813:KRA982818 KHE982813:KHE982818 JXI982813:JXI982818 JNM982813:JNM982818 JDQ982813:JDQ982818 ITU982813:ITU982818 IJY982813:IJY982818 IAC982813:IAC982818 HQG982813:HQG982818 HGK982813:HGK982818 GWO982813:GWO982818 GMS982813:GMS982818 GCW982813:GCW982818 FTA982813:FTA982818 FJE982813:FJE982818 EZI982813:EZI982818 EPM982813:EPM982818 EFQ982813:EFQ982818 DVU982813:DVU982818 DLY982813:DLY982818 DCC982813:DCC982818 CSG982813:CSG982818 CIK982813:CIK982818 BYO982813:BYO982818 BOS982813:BOS982818 BEW982813:BEW982818 AVA982813:AVA982818 ALE982813:ALE982818 ABI982813:ABI982818 RM982813:RM982818 HQ982813:HQ982818 WUC917277:WUC917282 WKG917277:WKG917282 WAK917277:WAK917282 VQO917277:VQO917282 VGS917277:VGS917282 UWW917277:UWW917282 UNA917277:UNA917282 UDE917277:UDE917282 TTI917277:TTI917282 TJM917277:TJM917282 SZQ917277:SZQ917282 SPU917277:SPU917282 SFY917277:SFY917282 RWC917277:RWC917282 RMG917277:RMG917282 RCK917277:RCK917282 QSO917277:QSO917282 QIS917277:QIS917282 PYW917277:PYW917282 PPA917277:PPA917282 PFE917277:PFE917282 OVI917277:OVI917282 OLM917277:OLM917282 OBQ917277:OBQ917282 NRU917277:NRU917282 NHY917277:NHY917282 MYC917277:MYC917282 MOG917277:MOG917282 MEK917277:MEK917282 LUO917277:LUO917282 LKS917277:LKS917282 LAW917277:LAW917282 KRA917277:KRA917282 KHE917277:KHE917282 JXI917277:JXI917282 JNM917277:JNM917282 JDQ917277:JDQ917282 ITU917277:ITU917282 IJY917277:IJY917282 IAC917277:IAC917282 HQG917277:HQG917282 HGK917277:HGK917282 GWO917277:GWO917282 GMS917277:GMS917282 GCW917277:GCW917282 FTA917277:FTA917282 FJE917277:FJE917282 EZI917277:EZI917282 EPM917277:EPM917282 EFQ917277:EFQ917282 DVU917277:DVU917282 DLY917277:DLY917282 DCC917277:DCC917282 CSG917277:CSG917282 CIK917277:CIK917282 BYO917277:BYO917282 BOS917277:BOS917282 BEW917277:BEW917282 AVA917277:AVA917282 ALE917277:ALE917282 ABI917277:ABI917282 RM917277:RM917282 HQ917277:HQ917282 WUC851741:WUC851746 WKG851741:WKG851746 WAK851741:WAK851746 VQO851741:VQO851746 VGS851741:VGS851746 UWW851741:UWW851746 UNA851741:UNA851746 UDE851741:UDE851746 TTI851741:TTI851746 TJM851741:TJM851746 SZQ851741:SZQ851746 SPU851741:SPU851746 SFY851741:SFY851746 RWC851741:RWC851746 RMG851741:RMG851746 RCK851741:RCK851746 QSO851741:QSO851746 QIS851741:QIS851746 PYW851741:PYW851746 PPA851741:PPA851746 PFE851741:PFE851746 OVI851741:OVI851746 OLM851741:OLM851746 OBQ851741:OBQ851746 NRU851741:NRU851746 NHY851741:NHY851746 MYC851741:MYC851746 MOG851741:MOG851746 MEK851741:MEK851746 LUO851741:LUO851746 LKS851741:LKS851746 LAW851741:LAW851746 KRA851741:KRA851746 KHE851741:KHE851746 JXI851741:JXI851746 JNM851741:JNM851746 JDQ851741:JDQ851746 ITU851741:ITU851746 IJY851741:IJY851746 IAC851741:IAC851746 HQG851741:HQG851746 HGK851741:HGK851746 GWO851741:GWO851746 GMS851741:GMS851746 GCW851741:GCW851746 FTA851741:FTA851746 FJE851741:FJE851746 EZI851741:EZI851746 EPM851741:EPM851746 EFQ851741:EFQ851746 DVU851741:DVU851746 DLY851741:DLY851746 DCC851741:DCC851746 CSG851741:CSG851746 CIK851741:CIK851746 BYO851741:BYO851746 BOS851741:BOS851746 BEW851741:BEW851746 AVA851741:AVA851746 ALE851741:ALE851746 ABI851741:ABI851746 RM851741:RM851746 HQ851741:HQ851746 WUC786205:WUC786210 WKG786205:WKG786210 WAK786205:WAK786210 VQO786205:VQO786210 VGS786205:VGS786210 UWW786205:UWW786210 UNA786205:UNA786210 UDE786205:UDE786210 TTI786205:TTI786210 TJM786205:TJM786210 SZQ786205:SZQ786210 SPU786205:SPU786210 SFY786205:SFY786210 RWC786205:RWC786210 RMG786205:RMG786210 RCK786205:RCK786210 QSO786205:QSO786210 QIS786205:QIS786210 PYW786205:PYW786210 PPA786205:PPA786210 PFE786205:PFE786210 OVI786205:OVI786210 OLM786205:OLM786210 OBQ786205:OBQ786210 NRU786205:NRU786210 NHY786205:NHY786210 MYC786205:MYC786210 MOG786205:MOG786210 MEK786205:MEK786210 LUO786205:LUO786210 LKS786205:LKS786210 LAW786205:LAW786210 KRA786205:KRA786210 KHE786205:KHE786210 JXI786205:JXI786210 JNM786205:JNM786210 JDQ786205:JDQ786210 ITU786205:ITU786210 IJY786205:IJY786210 IAC786205:IAC786210 HQG786205:HQG786210 HGK786205:HGK786210 GWO786205:GWO786210 GMS786205:GMS786210 GCW786205:GCW786210 FTA786205:FTA786210 FJE786205:FJE786210 EZI786205:EZI786210 EPM786205:EPM786210 EFQ786205:EFQ786210 DVU786205:DVU786210 DLY786205:DLY786210 DCC786205:DCC786210 CSG786205:CSG786210 CIK786205:CIK786210 BYO786205:BYO786210 BOS786205:BOS786210 BEW786205:BEW786210 AVA786205:AVA786210 ALE786205:ALE786210 ABI786205:ABI786210 RM786205:RM786210 HQ786205:HQ786210 WUC720669:WUC720674 WKG720669:WKG720674 WAK720669:WAK720674 VQO720669:VQO720674 VGS720669:VGS720674 UWW720669:UWW720674 UNA720669:UNA720674 UDE720669:UDE720674 TTI720669:TTI720674 TJM720669:TJM720674 SZQ720669:SZQ720674 SPU720669:SPU720674 SFY720669:SFY720674 RWC720669:RWC720674 RMG720669:RMG720674 RCK720669:RCK720674 QSO720669:QSO720674 QIS720669:QIS720674 PYW720669:PYW720674 PPA720669:PPA720674 PFE720669:PFE720674 OVI720669:OVI720674 OLM720669:OLM720674 OBQ720669:OBQ720674 NRU720669:NRU720674 NHY720669:NHY720674 MYC720669:MYC720674 MOG720669:MOG720674 MEK720669:MEK720674 LUO720669:LUO720674 LKS720669:LKS720674 LAW720669:LAW720674 KRA720669:KRA720674 KHE720669:KHE720674 JXI720669:JXI720674 JNM720669:JNM720674 JDQ720669:JDQ720674 ITU720669:ITU720674 IJY720669:IJY720674 IAC720669:IAC720674 HQG720669:HQG720674 HGK720669:HGK720674 GWO720669:GWO720674 GMS720669:GMS720674 GCW720669:GCW720674 FTA720669:FTA720674 FJE720669:FJE720674 EZI720669:EZI720674 EPM720669:EPM720674 EFQ720669:EFQ720674 DVU720669:DVU720674 DLY720669:DLY720674 DCC720669:DCC720674 CSG720669:CSG720674 CIK720669:CIK720674 BYO720669:BYO720674 BOS720669:BOS720674 BEW720669:BEW720674 AVA720669:AVA720674 ALE720669:ALE720674 ABI720669:ABI720674 RM720669:RM720674 HQ720669:HQ720674 WUC655133:WUC655138 WKG655133:WKG655138 WAK655133:WAK655138 VQO655133:VQO655138 VGS655133:VGS655138 UWW655133:UWW655138 UNA655133:UNA655138 UDE655133:UDE655138 TTI655133:TTI655138 TJM655133:TJM655138 SZQ655133:SZQ655138 SPU655133:SPU655138 SFY655133:SFY655138 RWC655133:RWC655138 RMG655133:RMG655138 RCK655133:RCK655138 QSO655133:QSO655138 QIS655133:QIS655138 PYW655133:PYW655138 PPA655133:PPA655138 PFE655133:PFE655138 OVI655133:OVI655138 OLM655133:OLM655138 OBQ655133:OBQ655138 NRU655133:NRU655138 NHY655133:NHY655138 MYC655133:MYC655138 MOG655133:MOG655138 MEK655133:MEK655138 LUO655133:LUO655138 LKS655133:LKS655138 LAW655133:LAW655138 KRA655133:KRA655138 KHE655133:KHE655138 JXI655133:JXI655138 JNM655133:JNM655138 JDQ655133:JDQ655138 ITU655133:ITU655138 IJY655133:IJY655138 IAC655133:IAC655138 HQG655133:HQG655138 HGK655133:HGK655138 GWO655133:GWO655138 GMS655133:GMS655138 GCW655133:GCW655138 FTA655133:FTA655138 FJE655133:FJE655138 EZI655133:EZI655138 EPM655133:EPM655138 EFQ655133:EFQ655138 DVU655133:DVU655138 DLY655133:DLY655138 DCC655133:DCC655138 CSG655133:CSG655138 CIK655133:CIK655138 BYO655133:BYO655138 BOS655133:BOS655138 BEW655133:BEW655138 AVA655133:AVA655138 ALE655133:ALE655138 ABI655133:ABI655138 RM655133:RM655138 HQ655133:HQ655138 WUC589597:WUC589602 WKG589597:WKG589602 WAK589597:WAK589602 VQO589597:VQO589602 VGS589597:VGS589602 UWW589597:UWW589602 UNA589597:UNA589602 UDE589597:UDE589602 TTI589597:TTI589602 TJM589597:TJM589602 SZQ589597:SZQ589602 SPU589597:SPU589602 SFY589597:SFY589602 RWC589597:RWC589602 RMG589597:RMG589602 RCK589597:RCK589602 QSO589597:QSO589602 QIS589597:QIS589602 PYW589597:PYW589602 PPA589597:PPA589602 PFE589597:PFE589602 OVI589597:OVI589602 OLM589597:OLM589602 OBQ589597:OBQ589602 NRU589597:NRU589602 NHY589597:NHY589602 MYC589597:MYC589602 MOG589597:MOG589602 MEK589597:MEK589602 LUO589597:LUO589602 LKS589597:LKS589602 LAW589597:LAW589602 KRA589597:KRA589602 KHE589597:KHE589602 JXI589597:JXI589602 JNM589597:JNM589602 JDQ589597:JDQ589602 ITU589597:ITU589602 IJY589597:IJY589602 IAC589597:IAC589602 HQG589597:HQG589602 HGK589597:HGK589602 GWO589597:GWO589602 GMS589597:GMS589602 GCW589597:GCW589602 FTA589597:FTA589602 FJE589597:FJE589602 EZI589597:EZI589602 EPM589597:EPM589602 EFQ589597:EFQ589602 DVU589597:DVU589602 DLY589597:DLY589602 DCC589597:DCC589602 CSG589597:CSG589602 CIK589597:CIK589602 BYO589597:BYO589602 BOS589597:BOS589602 BEW589597:BEW589602 AVA589597:AVA589602 ALE589597:ALE589602 ABI589597:ABI589602 RM589597:RM589602 HQ589597:HQ589602 WUC524061:WUC524066 WKG524061:WKG524066 WAK524061:WAK524066 VQO524061:VQO524066 VGS524061:VGS524066 UWW524061:UWW524066 UNA524061:UNA524066 UDE524061:UDE524066 TTI524061:TTI524066 TJM524061:TJM524066 SZQ524061:SZQ524066 SPU524061:SPU524066 SFY524061:SFY524066 RWC524061:RWC524066 RMG524061:RMG524066 RCK524061:RCK524066 QSO524061:QSO524066 QIS524061:QIS524066 PYW524061:PYW524066 PPA524061:PPA524066 PFE524061:PFE524066 OVI524061:OVI524066 OLM524061:OLM524066 OBQ524061:OBQ524066 NRU524061:NRU524066 NHY524061:NHY524066 MYC524061:MYC524066 MOG524061:MOG524066 MEK524061:MEK524066 LUO524061:LUO524066 LKS524061:LKS524066 LAW524061:LAW524066 KRA524061:KRA524066 KHE524061:KHE524066 JXI524061:JXI524066 JNM524061:JNM524066 JDQ524061:JDQ524066 ITU524061:ITU524066 IJY524061:IJY524066 IAC524061:IAC524066 HQG524061:HQG524066 HGK524061:HGK524066 GWO524061:GWO524066 GMS524061:GMS524066 GCW524061:GCW524066 FTA524061:FTA524066 FJE524061:FJE524066 EZI524061:EZI524066 EPM524061:EPM524066 EFQ524061:EFQ524066 DVU524061:DVU524066 DLY524061:DLY524066 DCC524061:DCC524066 CSG524061:CSG524066 CIK524061:CIK524066 BYO524061:BYO524066 BOS524061:BOS524066 BEW524061:BEW524066 AVA524061:AVA524066 ALE524061:ALE524066 ABI524061:ABI524066 RM524061:RM524066 HQ524061:HQ524066 WUC458525:WUC458530 WKG458525:WKG458530 WAK458525:WAK458530 VQO458525:VQO458530 VGS458525:VGS458530 UWW458525:UWW458530 UNA458525:UNA458530 UDE458525:UDE458530 TTI458525:TTI458530 TJM458525:TJM458530 SZQ458525:SZQ458530 SPU458525:SPU458530 SFY458525:SFY458530 RWC458525:RWC458530 RMG458525:RMG458530 RCK458525:RCK458530 QSO458525:QSO458530 QIS458525:QIS458530 PYW458525:PYW458530 PPA458525:PPA458530 PFE458525:PFE458530 OVI458525:OVI458530 OLM458525:OLM458530 OBQ458525:OBQ458530 NRU458525:NRU458530 NHY458525:NHY458530 MYC458525:MYC458530 MOG458525:MOG458530 MEK458525:MEK458530 LUO458525:LUO458530 LKS458525:LKS458530 LAW458525:LAW458530 KRA458525:KRA458530 KHE458525:KHE458530 JXI458525:JXI458530 JNM458525:JNM458530 JDQ458525:JDQ458530 ITU458525:ITU458530 IJY458525:IJY458530 IAC458525:IAC458530 HQG458525:HQG458530 HGK458525:HGK458530 GWO458525:GWO458530 GMS458525:GMS458530 GCW458525:GCW458530 FTA458525:FTA458530 FJE458525:FJE458530 EZI458525:EZI458530 EPM458525:EPM458530 EFQ458525:EFQ458530 DVU458525:DVU458530 DLY458525:DLY458530 DCC458525:DCC458530 CSG458525:CSG458530 CIK458525:CIK458530 BYO458525:BYO458530 BOS458525:BOS458530 BEW458525:BEW458530 AVA458525:AVA458530 ALE458525:ALE458530 ABI458525:ABI458530 RM458525:RM458530 HQ458525:HQ458530 WUC392989:WUC392994 WKG392989:WKG392994 WAK392989:WAK392994 VQO392989:VQO392994 VGS392989:VGS392994 UWW392989:UWW392994 UNA392989:UNA392994 UDE392989:UDE392994 TTI392989:TTI392994 TJM392989:TJM392994 SZQ392989:SZQ392994 SPU392989:SPU392994 SFY392989:SFY392994 RWC392989:RWC392994 RMG392989:RMG392994 RCK392989:RCK392994 QSO392989:QSO392994 QIS392989:QIS392994 PYW392989:PYW392994 PPA392989:PPA392994 PFE392989:PFE392994 OVI392989:OVI392994 OLM392989:OLM392994 OBQ392989:OBQ392994 NRU392989:NRU392994 NHY392989:NHY392994 MYC392989:MYC392994 MOG392989:MOG392994 MEK392989:MEK392994 LUO392989:LUO392994 LKS392989:LKS392994 LAW392989:LAW392994 KRA392989:KRA392994 KHE392989:KHE392994 JXI392989:JXI392994 JNM392989:JNM392994 JDQ392989:JDQ392994 ITU392989:ITU392994 IJY392989:IJY392994 IAC392989:IAC392994 HQG392989:HQG392994 HGK392989:HGK392994 GWO392989:GWO392994 GMS392989:GMS392994 GCW392989:GCW392994 FTA392989:FTA392994 FJE392989:FJE392994 EZI392989:EZI392994 EPM392989:EPM392994 EFQ392989:EFQ392994 DVU392989:DVU392994 DLY392989:DLY392994 DCC392989:DCC392994 CSG392989:CSG392994 CIK392989:CIK392994 BYO392989:BYO392994 BOS392989:BOS392994 BEW392989:BEW392994 AVA392989:AVA392994 ALE392989:ALE392994 ABI392989:ABI392994 RM392989:RM392994 HQ392989:HQ392994 WUC327453:WUC327458 WKG327453:WKG327458 WAK327453:WAK327458 VQO327453:VQO327458 VGS327453:VGS327458 UWW327453:UWW327458 UNA327453:UNA327458 UDE327453:UDE327458 TTI327453:TTI327458 TJM327453:TJM327458 SZQ327453:SZQ327458 SPU327453:SPU327458 SFY327453:SFY327458 RWC327453:RWC327458 RMG327453:RMG327458 RCK327453:RCK327458 QSO327453:QSO327458 QIS327453:QIS327458 PYW327453:PYW327458 PPA327453:PPA327458 PFE327453:PFE327458 OVI327453:OVI327458 OLM327453:OLM327458 OBQ327453:OBQ327458 NRU327453:NRU327458 NHY327453:NHY327458 MYC327453:MYC327458 MOG327453:MOG327458 MEK327453:MEK327458 LUO327453:LUO327458 LKS327453:LKS327458 LAW327453:LAW327458 KRA327453:KRA327458 KHE327453:KHE327458 JXI327453:JXI327458 JNM327453:JNM327458 JDQ327453:JDQ327458 ITU327453:ITU327458 IJY327453:IJY327458 IAC327453:IAC327458 HQG327453:HQG327458 HGK327453:HGK327458 GWO327453:GWO327458 GMS327453:GMS327458 GCW327453:GCW327458 FTA327453:FTA327458 FJE327453:FJE327458 EZI327453:EZI327458 EPM327453:EPM327458 EFQ327453:EFQ327458 DVU327453:DVU327458 DLY327453:DLY327458 DCC327453:DCC327458 CSG327453:CSG327458 CIK327453:CIK327458 BYO327453:BYO327458 BOS327453:BOS327458 BEW327453:BEW327458 AVA327453:AVA327458 ALE327453:ALE327458 ABI327453:ABI327458 RM327453:RM327458 HQ327453:HQ327458 WUC261917:WUC261922 WKG261917:WKG261922 WAK261917:WAK261922 VQO261917:VQO261922 VGS261917:VGS261922 UWW261917:UWW261922 UNA261917:UNA261922 UDE261917:UDE261922 TTI261917:TTI261922 TJM261917:TJM261922 SZQ261917:SZQ261922 SPU261917:SPU261922 SFY261917:SFY261922 RWC261917:RWC261922 RMG261917:RMG261922 RCK261917:RCK261922 QSO261917:QSO261922 QIS261917:QIS261922 PYW261917:PYW261922 PPA261917:PPA261922 PFE261917:PFE261922 OVI261917:OVI261922 OLM261917:OLM261922 OBQ261917:OBQ261922 NRU261917:NRU261922 NHY261917:NHY261922 MYC261917:MYC261922 MOG261917:MOG261922 MEK261917:MEK261922 LUO261917:LUO261922 LKS261917:LKS261922 LAW261917:LAW261922 KRA261917:KRA261922 KHE261917:KHE261922 JXI261917:JXI261922 JNM261917:JNM261922 JDQ261917:JDQ261922 ITU261917:ITU261922 IJY261917:IJY261922 IAC261917:IAC261922 HQG261917:HQG261922 HGK261917:HGK261922 GWO261917:GWO261922 GMS261917:GMS261922 GCW261917:GCW261922 FTA261917:FTA261922 FJE261917:FJE261922 EZI261917:EZI261922 EPM261917:EPM261922 EFQ261917:EFQ261922 DVU261917:DVU261922 DLY261917:DLY261922 DCC261917:DCC261922 CSG261917:CSG261922 CIK261917:CIK261922 BYO261917:BYO261922 BOS261917:BOS261922 BEW261917:BEW261922 AVA261917:AVA261922 ALE261917:ALE261922 ABI261917:ABI261922 RM261917:RM261922 HQ261917:HQ261922 WUC196381:WUC196386 WKG196381:WKG196386 WAK196381:WAK196386 VQO196381:VQO196386 VGS196381:VGS196386 UWW196381:UWW196386 UNA196381:UNA196386 UDE196381:UDE196386 TTI196381:TTI196386 TJM196381:TJM196386 SZQ196381:SZQ196386 SPU196381:SPU196386 SFY196381:SFY196386 RWC196381:RWC196386 RMG196381:RMG196386 RCK196381:RCK196386 QSO196381:QSO196386 QIS196381:QIS196386 PYW196381:PYW196386 PPA196381:PPA196386 PFE196381:PFE196386 OVI196381:OVI196386 OLM196381:OLM196386 OBQ196381:OBQ196386 NRU196381:NRU196386 NHY196381:NHY196386 MYC196381:MYC196386 MOG196381:MOG196386 MEK196381:MEK196386 LUO196381:LUO196386 LKS196381:LKS196386 LAW196381:LAW196386 KRA196381:KRA196386 KHE196381:KHE196386 JXI196381:JXI196386 JNM196381:JNM196386 JDQ196381:JDQ196386 ITU196381:ITU196386 IJY196381:IJY196386 IAC196381:IAC196386 HQG196381:HQG196386 HGK196381:HGK196386 GWO196381:GWO196386 GMS196381:GMS196386 GCW196381:GCW196386 FTA196381:FTA196386 FJE196381:FJE196386 EZI196381:EZI196386 EPM196381:EPM196386 EFQ196381:EFQ196386 DVU196381:DVU196386 DLY196381:DLY196386 DCC196381:DCC196386 CSG196381:CSG196386 CIK196381:CIK196386 BYO196381:BYO196386 BOS196381:BOS196386 BEW196381:BEW196386 AVA196381:AVA196386 ALE196381:ALE196386 ABI196381:ABI196386 RM196381:RM196386 HQ196381:HQ196386 WUC130845:WUC130850 WKG130845:WKG130850 WAK130845:WAK130850 VQO130845:VQO130850 VGS130845:VGS130850 UWW130845:UWW130850 UNA130845:UNA130850 UDE130845:UDE130850 TTI130845:TTI130850 TJM130845:TJM130850 SZQ130845:SZQ130850 SPU130845:SPU130850 SFY130845:SFY130850 RWC130845:RWC130850 RMG130845:RMG130850 RCK130845:RCK130850 QSO130845:QSO130850 QIS130845:QIS130850 PYW130845:PYW130850 PPA130845:PPA130850 PFE130845:PFE130850 OVI130845:OVI130850 OLM130845:OLM130850 OBQ130845:OBQ130850 NRU130845:NRU130850 NHY130845:NHY130850 MYC130845:MYC130850 MOG130845:MOG130850 MEK130845:MEK130850 LUO130845:LUO130850 LKS130845:LKS130850 LAW130845:LAW130850 KRA130845:KRA130850 KHE130845:KHE130850 JXI130845:JXI130850 JNM130845:JNM130850 JDQ130845:JDQ130850 ITU130845:ITU130850 IJY130845:IJY130850 IAC130845:IAC130850 HQG130845:HQG130850 HGK130845:HGK130850 GWO130845:GWO130850 GMS130845:GMS130850 GCW130845:GCW130850 FTA130845:FTA130850 FJE130845:FJE130850 EZI130845:EZI130850 EPM130845:EPM130850 EFQ130845:EFQ130850 DVU130845:DVU130850 DLY130845:DLY130850 DCC130845:DCC130850 CSG130845:CSG130850 CIK130845:CIK130850 BYO130845:BYO130850 BOS130845:BOS130850 BEW130845:BEW130850 AVA130845:AVA130850 ALE130845:ALE130850 ABI130845:ABI130850 RM130845:RM130850 HQ130845:HQ130850 WUC65309:WUC65314 WKG65309:WKG65314 WAK65309:WAK65314 VQO65309:VQO65314 VGS65309:VGS65314 UWW65309:UWW65314 UNA65309:UNA65314 UDE65309:UDE65314 TTI65309:TTI65314 TJM65309:TJM65314 SZQ65309:SZQ65314 SPU65309:SPU65314 SFY65309:SFY65314 RWC65309:RWC65314 RMG65309:RMG65314 RCK65309:RCK65314 QSO65309:QSO65314 QIS65309:QIS65314 PYW65309:PYW65314 PPA65309:PPA65314 PFE65309:PFE65314 OVI65309:OVI65314 OLM65309:OLM65314 OBQ65309:OBQ65314 NRU65309:NRU65314 NHY65309:NHY65314 MYC65309:MYC65314 MOG65309:MOG65314 MEK65309:MEK65314 LUO65309:LUO65314 LKS65309:LKS65314 LAW65309:LAW65314 KRA65309:KRA65314 KHE65309:KHE65314 JXI65309:JXI65314 JNM65309:JNM65314 JDQ65309:JDQ65314 ITU65309:ITU65314 IJY65309:IJY65314 IAC65309:IAC65314 HQG65309:HQG65314 HGK65309:HGK65314 GWO65309:GWO65314 GMS65309:GMS65314 GCW65309:GCW65314 FTA65309:FTA65314 FJE65309:FJE65314 EZI65309:EZI65314 EPM65309:EPM65314 EFQ65309:EFQ65314 DVU65309:DVU65314 DLY65309:DLY65314 DCC65309:DCC65314 CSG65309:CSG65314 CIK65309:CIK65314 BYO65309:BYO65314 BOS65309:BOS65314 BEW65309:BEW65314 AVA65309:AVA65314 ALE65309:ALE65314 ABI65309:ABI65314 RM65309:RM65314 HQ65309:HQ65314 WUC982764 WKG982764 WAK982764 VQO982764 VGS982764 UWW982764 UNA982764 UDE982764 TTI982764 TJM982764 SZQ982764 SPU982764 SFY982764 RWC982764 RMG982764 RCK982764 QSO982764 QIS982764 PYW982764 PPA982764 PFE982764 OVI982764 OLM982764 OBQ982764 NRU982764 NHY982764 MYC982764 MOG982764 MEK982764 LUO982764 LKS982764 LAW982764 KRA982764 KHE982764 JXI982764 JNM982764 JDQ982764 ITU982764 IJY982764 IAC982764 HQG982764 HGK982764 GWO982764 GMS982764 GCW982764 FTA982764 FJE982764 EZI982764 EPM982764 EFQ982764 DVU982764 DLY982764 DCC982764 CSG982764 CIK982764 BYO982764 BOS982764 BEW982764 AVA982764 ALE982764 ABI982764 RM982764 HQ982764 WUC917228 WKG917228 WAK917228 VQO917228 VGS917228 UWW917228 UNA917228 UDE917228 TTI917228 TJM917228 SZQ917228 SPU917228 SFY917228 RWC917228 RMG917228 RCK917228 QSO917228 QIS917228 PYW917228 PPA917228 PFE917228 OVI917228 OLM917228 OBQ917228 NRU917228 NHY917228 MYC917228 MOG917228 MEK917228 LUO917228 LKS917228 LAW917228 KRA917228 KHE917228 JXI917228 JNM917228 JDQ917228 ITU917228 IJY917228 IAC917228 HQG917228 HGK917228 GWO917228 GMS917228 GCW917228 FTA917228 FJE917228 EZI917228 EPM917228 EFQ917228 DVU917228 DLY917228 DCC917228 CSG917228 CIK917228 BYO917228 BOS917228 BEW917228 AVA917228 ALE917228 ABI917228 RM917228 HQ917228 WUC851692 WKG851692 WAK851692 VQO851692 VGS851692 UWW851692 UNA851692 UDE851692 TTI851692 TJM851692 SZQ851692 SPU851692 SFY851692 RWC851692 RMG851692 RCK851692 QSO851692 QIS851692 PYW851692 PPA851692 PFE851692 OVI851692 OLM851692 OBQ851692 NRU851692 NHY851692 MYC851692 MOG851692 MEK851692 LUO851692 LKS851692 LAW851692 KRA851692 KHE851692 JXI851692 JNM851692 JDQ851692 ITU851692 IJY851692 IAC851692 HQG851692 HGK851692 GWO851692 GMS851692 GCW851692 FTA851692 FJE851692 EZI851692 EPM851692 EFQ851692 DVU851692 DLY851692 DCC851692 CSG851692 CIK851692 BYO851692 BOS851692 BEW851692 AVA851692 ALE851692 ABI851692 RM851692 HQ851692 WUC786156 WKG786156 WAK786156 VQO786156 VGS786156 UWW786156 UNA786156 UDE786156 TTI786156 TJM786156 SZQ786156 SPU786156 SFY786156 RWC786156 RMG786156 RCK786156 QSO786156 QIS786156 PYW786156 PPA786156 PFE786156 OVI786156 OLM786156 OBQ786156 NRU786156 NHY786156 MYC786156 MOG786156 MEK786156 LUO786156 LKS786156 LAW786156 KRA786156 KHE786156 JXI786156 JNM786156 JDQ786156 ITU786156 IJY786156 IAC786156 HQG786156 HGK786156 GWO786156 GMS786156 GCW786156 FTA786156 FJE786156 EZI786156 EPM786156 EFQ786156 DVU786156 DLY786156 DCC786156 CSG786156 CIK786156 BYO786156 BOS786156 BEW786156 AVA786156 ALE786156 ABI786156 RM786156 HQ786156 WUC720620 WKG720620 WAK720620 VQO720620 VGS720620 UWW720620 UNA720620 UDE720620 TTI720620 TJM720620 SZQ720620 SPU720620 SFY720620 RWC720620 RMG720620 RCK720620 QSO720620 QIS720620 PYW720620 PPA720620 PFE720620 OVI720620 OLM720620 OBQ720620 NRU720620 NHY720620 MYC720620 MOG720620 MEK720620 LUO720620 LKS720620 LAW720620 KRA720620 KHE720620 JXI720620 JNM720620 JDQ720620 ITU720620 IJY720620 IAC720620 HQG720620 HGK720620 GWO720620 GMS720620 GCW720620 FTA720620 FJE720620 EZI720620 EPM720620 EFQ720620 DVU720620 DLY720620 DCC720620 CSG720620 CIK720620 BYO720620 BOS720620 BEW720620 AVA720620 ALE720620 ABI720620 RM720620 HQ720620 WUC655084 WKG655084 WAK655084 VQO655084 VGS655084 UWW655084 UNA655084 UDE655084 TTI655084 TJM655084 SZQ655084 SPU655084 SFY655084 RWC655084 RMG655084 RCK655084 QSO655084 QIS655084 PYW655084 PPA655084 PFE655084 OVI655084 OLM655084 OBQ655084 NRU655084 NHY655084 MYC655084 MOG655084 MEK655084 LUO655084 LKS655084 LAW655084 KRA655084 KHE655084 JXI655084 JNM655084 JDQ655084 ITU655084 IJY655084 IAC655084 HQG655084 HGK655084 GWO655084 GMS655084 GCW655084 FTA655084 FJE655084 EZI655084 EPM655084 EFQ655084 DVU655084 DLY655084 DCC655084 CSG655084 CIK655084 BYO655084 BOS655084 BEW655084 AVA655084 ALE655084 ABI655084 RM655084 HQ655084 WUC589548 WKG589548 WAK589548 VQO589548 VGS589548 UWW589548 UNA589548 UDE589548 TTI589548 TJM589548 SZQ589548 SPU589548 SFY589548 RWC589548 RMG589548 RCK589548 QSO589548 QIS589548 PYW589548 PPA589548 PFE589548 OVI589548 OLM589548 OBQ589548 NRU589548 NHY589548 MYC589548 MOG589548 MEK589548 LUO589548 LKS589548 LAW589548 KRA589548 KHE589548 JXI589548 JNM589548 JDQ589548 ITU589548 IJY589548 IAC589548 HQG589548 HGK589548 GWO589548 GMS589548 GCW589548 FTA589548 FJE589548 EZI589548 EPM589548 EFQ589548 DVU589548 DLY589548 DCC589548 CSG589548 CIK589548 BYO589548 BOS589548 BEW589548 AVA589548 ALE589548 ABI589548 RM589548 HQ589548 WUC524012 WKG524012 WAK524012 VQO524012 VGS524012 UWW524012 UNA524012 UDE524012 TTI524012 TJM524012 SZQ524012 SPU524012 SFY524012 RWC524012 RMG524012 RCK524012 QSO524012 QIS524012 PYW524012 PPA524012 PFE524012 OVI524012 OLM524012 OBQ524012 NRU524012 NHY524012 MYC524012 MOG524012 MEK524012 LUO524012 LKS524012 LAW524012 KRA524012 KHE524012 JXI524012 JNM524012 JDQ524012 ITU524012 IJY524012 IAC524012 HQG524012 HGK524012 GWO524012 GMS524012 GCW524012 FTA524012 FJE524012 EZI524012 EPM524012 EFQ524012 DVU524012 DLY524012 DCC524012 CSG524012 CIK524012 BYO524012 BOS524012 BEW524012 AVA524012 ALE524012 ABI524012 RM524012 HQ524012 WUC458476 WKG458476 WAK458476 VQO458476 VGS458476 UWW458476 UNA458476 UDE458476 TTI458476 TJM458476 SZQ458476 SPU458476 SFY458476 RWC458476 RMG458476 RCK458476 QSO458476 QIS458476 PYW458476 PPA458476 PFE458476 OVI458476 OLM458476 OBQ458476 NRU458476 NHY458476 MYC458476 MOG458476 MEK458476 LUO458476 LKS458476 LAW458476 KRA458476 KHE458476 JXI458476 JNM458476 JDQ458476 ITU458476 IJY458476 IAC458476 HQG458476 HGK458476 GWO458476 GMS458476 GCW458476 FTA458476 FJE458476 EZI458476 EPM458476 EFQ458476 DVU458476 DLY458476 DCC458476 CSG458476 CIK458476 BYO458476 BOS458476 BEW458476 AVA458476 ALE458476 ABI458476 RM458476 HQ458476 WUC392940 WKG392940 WAK392940 VQO392940 VGS392940 UWW392940 UNA392940 UDE392940 TTI392940 TJM392940 SZQ392940 SPU392940 SFY392940 RWC392940 RMG392940 RCK392940 QSO392940 QIS392940 PYW392940 PPA392940 PFE392940 OVI392940 OLM392940 OBQ392940 NRU392940 NHY392940 MYC392940 MOG392940 MEK392940 LUO392940 LKS392940 LAW392940 KRA392940 KHE392940 JXI392940 JNM392940 JDQ392940 ITU392940 IJY392940 IAC392940 HQG392940 HGK392940 GWO392940 GMS392940 GCW392940 FTA392940 FJE392940 EZI392940 EPM392940 EFQ392940 DVU392940 DLY392940 DCC392940 CSG392940 CIK392940 BYO392940 BOS392940 BEW392940 AVA392940 ALE392940 ABI392940 RM392940 HQ392940 WUC327404 WKG327404 WAK327404 VQO327404 VGS327404 UWW327404 UNA327404 UDE327404 TTI327404 TJM327404 SZQ327404 SPU327404 SFY327404 RWC327404 RMG327404 RCK327404 QSO327404 QIS327404 PYW327404 PPA327404 PFE327404 OVI327404 OLM327404 OBQ327404 NRU327404 NHY327404 MYC327404 MOG327404 MEK327404 LUO327404 LKS327404 LAW327404 KRA327404 KHE327404 JXI327404 JNM327404 JDQ327404 ITU327404 IJY327404 IAC327404 HQG327404 HGK327404 GWO327404 GMS327404 GCW327404 FTA327404 FJE327404 EZI327404 EPM327404 EFQ327404 DVU327404 DLY327404 DCC327404 CSG327404 CIK327404 BYO327404 BOS327404 BEW327404 AVA327404 ALE327404 ABI327404 RM327404 HQ327404 WUC261868 WKG261868 WAK261868 VQO261868 VGS261868 UWW261868 UNA261868 UDE261868 TTI261868 TJM261868 SZQ261868 SPU261868 SFY261868 RWC261868 RMG261868 RCK261868 QSO261868 QIS261868 PYW261868 PPA261868 PFE261868 OVI261868 OLM261868 OBQ261868 NRU261868 NHY261868 MYC261868 MOG261868 MEK261868 LUO261868 LKS261868 LAW261868 KRA261868 KHE261868 JXI261868 JNM261868 JDQ261868 ITU261868 IJY261868 IAC261868 HQG261868 HGK261868 GWO261868 GMS261868 GCW261868 FTA261868 FJE261868 EZI261868 EPM261868 EFQ261868 DVU261868 DLY261868 DCC261868 CSG261868 CIK261868 BYO261868 BOS261868 BEW261868 AVA261868 ALE261868 ABI261868 RM261868 HQ261868 WUC196332 WKG196332 WAK196332 VQO196332 VGS196332 UWW196332 UNA196332 UDE196332 TTI196332 TJM196332 SZQ196332 SPU196332 SFY196332 RWC196332 RMG196332 RCK196332 QSO196332 QIS196332 PYW196332 PPA196332 PFE196332 OVI196332 OLM196332 OBQ196332 NRU196332 NHY196332 MYC196332 MOG196332 MEK196332 LUO196332 LKS196332 LAW196332 KRA196332 KHE196332 JXI196332 JNM196332 JDQ196332 ITU196332 IJY196332 IAC196332 HQG196332 HGK196332 GWO196332 GMS196332 GCW196332 FTA196332 FJE196332 EZI196332 EPM196332 EFQ196332 DVU196332 DLY196332 DCC196332 CSG196332 CIK196332 BYO196332 BOS196332 BEW196332 AVA196332 ALE196332 ABI196332 RM196332 HQ196332 WUC130796 WKG130796 WAK130796 VQO130796 VGS130796 UWW130796 UNA130796 UDE130796 TTI130796 TJM130796 SZQ130796 SPU130796 SFY130796 RWC130796 RMG130796 RCK130796 QSO130796 QIS130796 PYW130796 PPA130796 PFE130796 OVI130796 OLM130796 OBQ130796 NRU130796 NHY130796 MYC130796 MOG130796 MEK130796 LUO130796 LKS130796 LAW130796 KRA130796 KHE130796 JXI130796 JNM130796 JDQ130796 ITU130796 IJY130796 IAC130796 HQG130796 HGK130796 GWO130796 GMS130796 GCW130796 FTA130796 FJE130796 EZI130796 EPM130796 EFQ130796 DVU130796 DLY130796 DCC130796 CSG130796 CIK130796 BYO130796 BOS130796 BEW130796 AVA130796 ALE130796 ABI130796 RM130796 HQ130796 WUC65260 WKG65260 WAK65260 VQO65260 VGS65260 UWW65260 UNA65260 UDE65260 TTI65260 TJM65260 SZQ65260 SPU65260 SFY65260 RWC65260 RMG65260 RCK65260 QSO65260 QIS65260 PYW65260 PPA65260 PFE65260 OVI65260 OLM65260 OBQ65260 NRU65260 NHY65260 MYC65260 MOG65260 MEK65260 LUO65260 LKS65260 LAW65260 KRA65260 KHE65260 JXI65260 JNM65260 JDQ65260 ITU65260 IJY65260 IAC65260 HQG65260 HGK65260 GWO65260 GMS65260 GCW65260 FTA65260 FJE65260 EZI65260 EPM65260 EFQ65260 DVU65260 DLY65260 DCC65260 CSG65260 CIK65260 BYO65260 BOS65260 BEW65260 AVA65260 ALE65260 ABI65260 RM65260 HQ65260 WUC982902:WUC982903 WKG982902:WKG982903 WAK982902:WAK982903 VQO982902:VQO982903 VGS982902:VGS982903 UWW982902:UWW982903 UNA982902:UNA982903 UDE982902:UDE982903 TTI982902:TTI982903 TJM982902:TJM982903 SZQ982902:SZQ982903 SPU982902:SPU982903 SFY982902:SFY982903 RWC982902:RWC982903 RMG982902:RMG982903 RCK982902:RCK982903 QSO982902:QSO982903 QIS982902:QIS982903 PYW982902:PYW982903 PPA982902:PPA982903 PFE982902:PFE982903 OVI982902:OVI982903 OLM982902:OLM982903 OBQ982902:OBQ982903 NRU982902:NRU982903 NHY982902:NHY982903 MYC982902:MYC982903 MOG982902:MOG982903 MEK982902:MEK982903 LUO982902:LUO982903 LKS982902:LKS982903 LAW982902:LAW982903 KRA982902:KRA982903 KHE982902:KHE982903 JXI982902:JXI982903 JNM982902:JNM982903 JDQ982902:JDQ982903 ITU982902:ITU982903 IJY982902:IJY982903 IAC982902:IAC982903 HQG982902:HQG982903 HGK982902:HGK982903 GWO982902:GWO982903 GMS982902:GMS982903 GCW982902:GCW982903 FTA982902:FTA982903 FJE982902:FJE982903 EZI982902:EZI982903 EPM982902:EPM982903 EFQ982902:EFQ982903 DVU982902:DVU982903 DLY982902:DLY982903 DCC982902:DCC982903 CSG982902:CSG982903 CIK982902:CIK982903 BYO982902:BYO982903 BOS982902:BOS982903 BEW982902:BEW982903 AVA982902:AVA982903 ALE982902:ALE982903 ABI982902:ABI982903 RM982902:RM982903 HQ982902:HQ982903 WUC917366:WUC917367 WKG917366:WKG917367 WAK917366:WAK917367 VQO917366:VQO917367 VGS917366:VGS917367 UWW917366:UWW917367 UNA917366:UNA917367 UDE917366:UDE917367 TTI917366:TTI917367 TJM917366:TJM917367 SZQ917366:SZQ917367 SPU917366:SPU917367 SFY917366:SFY917367 RWC917366:RWC917367 RMG917366:RMG917367 RCK917366:RCK917367 QSO917366:QSO917367 QIS917366:QIS917367 PYW917366:PYW917367 PPA917366:PPA917367 PFE917366:PFE917367 OVI917366:OVI917367 OLM917366:OLM917367 OBQ917366:OBQ917367 NRU917366:NRU917367 NHY917366:NHY917367 MYC917366:MYC917367 MOG917366:MOG917367 MEK917366:MEK917367 LUO917366:LUO917367 LKS917366:LKS917367 LAW917366:LAW917367 KRA917366:KRA917367 KHE917366:KHE917367 JXI917366:JXI917367 JNM917366:JNM917367 JDQ917366:JDQ917367 ITU917366:ITU917367 IJY917366:IJY917367 IAC917366:IAC917367 HQG917366:HQG917367 HGK917366:HGK917367 GWO917366:GWO917367 GMS917366:GMS917367 GCW917366:GCW917367 FTA917366:FTA917367 FJE917366:FJE917367 EZI917366:EZI917367 EPM917366:EPM917367 EFQ917366:EFQ917367 DVU917366:DVU917367 DLY917366:DLY917367 DCC917366:DCC917367 CSG917366:CSG917367 CIK917366:CIK917367 BYO917366:BYO917367 BOS917366:BOS917367 BEW917366:BEW917367 AVA917366:AVA917367 ALE917366:ALE917367 ABI917366:ABI917367 RM917366:RM917367 HQ917366:HQ917367 WUC851830:WUC851831 WKG851830:WKG851831 WAK851830:WAK851831 VQO851830:VQO851831 VGS851830:VGS851831 UWW851830:UWW851831 UNA851830:UNA851831 UDE851830:UDE851831 TTI851830:TTI851831 TJM851830:TJM851831 SZQ851830:SZQ851831 SPU851830:SPU851831 SFY851830:SFY851831 RWC851830:RWC851831 RMG851830:RMG851831 RCK851830:RCK851831 QSO851830:QSO851831 QIS851830:QIS851831 PYW851830:PYW851831 PPA851830:PPA851831 PFE851830:PFE851831 OVI851830:OVI851831 OLM851830:OLM851831 OBQ851830:OBQ851831 NRU851830:NRU851831 NHY851830:NHY851831 MYC851830:MYC851831 MOG851830:MOG851831 MEK851830:MEK851831 LUO851830:LUO851831 LKS851830:LKS851831 LAW851830:LAW851831 KRA851830:KRA851831 KHE851830:KHE851831 JXI851830:JXI851831 JNM851830:JNM851831 JDQ851830:JDQ851831 ITU851830:ITU851831 IJY851830:IJY851831 IAC851830:IAC851831 HQG851830:HQG851831 HGK851830:HGK851831 GWO851830:GWO851831 GMS851830:GMS851831 GCW851830:GCW851831 FTA851830:FTA851831 FJE851830:FJE851831 EZI851830:EZI851831 EPM851830:EPM851831 EFQ851830:EFQ851831 DVU851830:DVU851831 DLY851830:DLY851831 DCC851830:DCC851831 CSG851830:CSG851831 CIK851830:CIK851831 BYO851830:BYO851831 BOS851830:BOS851831 BEW851830:BEW851831 AVA851830:AVA851831 ALE851830:ALE851831 ABI851830:ABI851831 RM851830:RM851831 HQ851830:HQ851831 WUC786294:WUC786295 WKG786294:WKG786295 WAK786294:WAK786295 VQO786294:VQO786295 VGS786294:VGS786295 UWW786294:UWW786295 UNA786294:UNA786295 UDE786294:UDE786295 TTI786294:TTI786295 TJM786294:TJM786295 SZQ786294:SZQ786295 SPU786294:SPU786295 SFY786294:SFY786295 RWC786294:RWC786295 RMG786294:RMG786295 RCK786294:RCK786295 QSO786294:QSO786295 QIS786294:QIS786295 PYW786294:PYW786295 PPA786294:PPA786295 PFE786294:PFE786295 OVI786294:OVI786295 OLM786294:OLM786295 OBQ786294:OBQ786295 NRU786294:NRU786295 NHY786294:NHY786295 MYC786294:MYC786295 MOG786294:MOG786295 MEK786294:MEK786295 LUO786294:LUO786295 LKS786294:LKS786295 LAW786294:LAW786295 KRA786294:KRA786295 KHE786294:KHE786295 JXI786294:JXI786295 JNM786294:JNM786295 JDQ786294:JDQ786295 ITU786294:ITU786295 IJY786294:IJY786295 IAC786294:IAC786295 HQG786294:HQG786295 HGK786294:HGK786295 GWO786294:GWO786295 GMS786294:GMS786295 GCW786294:GCW786295 FTA786294:FTA786295 FJE786294:FJE786295 EZI786294:EZI786295 EPM786294:EPM786295 EFQ786294:EFQ786295 DVU786294:DVU786295 DLY786294:DLY786295 DCC786294:DCC786295 CSG786294:CSG786295 CIK786294:CIK786295 BYO786294:BYO786295 BOS786294:BOS786295 BEW786294:BEW786295 AVA786294:AVA786295 ALE786294:ALE786295 ABI786294:ABI786295 RM786294:RM786295 HQ786294:HQ786295 WUC720758:WUC720759 WKG720758:WKG720759 WAK720758:WAK720759 VQO720758:VQO720759 VGS720758:VGS720759 UWW720758:UWW720759 UNA720758:UNA720759 UDE720758:UDE720759 TTI720758:TTI720759 TJM720758:TJM720759 SZQ720758:SZQ720759 SPU720758:SPU720759 SFY720758:SFY720759 RWC720758:RWC720759 RMG720758:RMG720759 RCK720758:RCK720759 QSO720758:QSO720759 QIS720758:QIS720759 PYW720758:PYW720759 PPA720758:PPA720759 PFE720758:PFE720759 OVI720758:OVI720759 OLM720758:OLM720759 OBQ720758:OBQ720759 NRU720758:NRU720759 NHY720758:NHY720759 MYC720758:MYC720759 MOG720758:MOG720759 MEK720758:MEK720759 LUO720758:LUO720759 LKS720758:LKS720759 LAW720758:LAW720759 KRA720758:KRA720759 KHE720758:KHE720759 JXI720758:JXI720759 JNM720758:JNM720759 JDQ720758:JDQ720759 ITU720758:ITU720759 IJY720758:IJY720759 IAC720758:IAC720759 HQG720758:HQG720759 HGK720758:HGK720759 GWO720758:GWO720759 GMS720758:GMS720759 GCW720758:GCW720759 FTA720758:FTA720759 FJE720758:FJE720759 EZI720758:EZI720759 EPM720758:EPM720759 EFQ720758:EFQ720759 DVU720758:DVU720759 DLY720758:DLY720759 DCC720758:DCC720759 CSG720758:CSG720759 CIK720758:CIK720759 BYO720758:BYO720759 BOS720758:BOS720759 BEW720758:BEW720759 AVA720758:AVA720759 ALE720758:ALE720759 ABI720758:ABI720759 RM720758:RM720759 HQ720758:HQ720759 WUC655222:WUC655223 WKG655222:WKG655223 WAK655222:WAK655223 VQO655222:VQO655223 VGS655222:VGS655223 UWW655222:UWW655223 UNA655222:UNA655223 UDE655222:UDE655223 TTI655222:TTI655223 TJM655222:TJM655223 SZQ655222:SZQ655223 SPU655222:SPU655223 SFY655222:SFY655223 RWC655222:RWC655223 RMG655222:RMG655223 RCK655222:RCK655223 QSO655222:QSO655223 QIS655222:QIS655223 PYW655222:PYW655223 PPA655222:PPA655223 PFE655222:PFE655223 OVI655222:OVI655223 OLM655222:OLM655223 OBQ655222:OBQ655223 NRU655222:NRU655223 NHY655222:NHY655223 MYC655222:MYC655223 MOG655222:MOG655223 MEK655222:MEK655223 LUO655222:LUO655223 LKS655222:LKS655223 LAW655222:LAW655223 KRA655222:KRA655223 KHE655222:KHE655223 JXI655222:JXI655223 JNM655222:JNM655223 JDQ655222:JDQ655223 ITU655222:ITU655223 IJY655222:IJY655223 IAC655222:IAC655223 HQG655222:HQG655223 HGK655222:HGK655223 GWO655222:GWO655223 GMS655222:GMS655223 GCW655222:GCW655223 FTA655222:FTA655223 FJE655222:FJE655223 EZI655222:EZI655223 EPM655222:EPM655223 EFQ655222:EFQ655223 DVU655222:DVU655223 DLY655222:DLY655223 DCC655222:DCC655223 CSG655222:CSG655223 CIK655222:CIK655223 BYO655222:BYO655223 BOS655222:BOS655223 BEW655222:BEW655223 AVA655222:AVA655223 ALE655222:ALE655223 ABI655222:ABI655223 RM655222:RM655223 HQ655222:HQ655223 WUC589686:WUC589687 WKG589686:WKG589687 WAK589686:WAK589687 VQO589686:VQO589687 VGS589686:VGS589687 UWW589686:UWW589687 UNA589686:UNA589687 UDE589686:UDE589687 TTI589686:TTI589687 TJM589686:TJM589687 SZQ589686:SZQ589687 SPU589686:SPU589687 SFY589686:SFY589687 RWC589686:RWC589687 RMG589686:RMG589687 RCK589686:RCK589687 QSO589686:QSO589687 QIS589686:QIS589687 PYW589686:PYW589687 PPA589686:PPA589687 PFE589686:PFE589687 OVI589686:OVI589687 OLM589686:OLM589687 OBQ589686:OBQ589687 NRU589686:NRU589687 NHY589686:NHY589687 MYC589686:MYC589687 MOG589686:MOG589687 MEK589686:MEK589687 LUO589686:LUO589687 LKS589686:LKS589687 LAW589686:LAW589687 KRA589686:KRA589687 KHE589686:KHE589687 JXI589686:JXI589687 JNM589686:JNM589687 JDQ589686:JDQ589687 ITU589686:ITU589687 IJY589686:IJY589687 IAC589686:IAC589687 HQG589686:HQG589687 HGK589686:HGK589687 GWO589686:GWO589687 GMS589686:GMS589687 GCW589686:GCW589687 FTA589686:FTA589687 FJE589686:FJE589687 EZI589686:EZI589687 EPM589686:EPM589687 EFQ589686:EFQ589687 DVU589686:DVU589687 DLY589686:DLY589687 DCC589686:DCC589687 CSG589686:CSG589687 CIK589686:CIK589687 BYO589686:BYO589687 BOS589686:BOS589687 BEW589686:BEW589687 AVA589686:AVA589687 ALE589686:ALE589687 ABI589686:ABI589687 RM589686:RM589687 HQ589686:HQ589687 WUC524150:WUC524151 WKG524150:WKG524151 WAK524150:WAK524151 VQO524150:VQO524151 VGS524150:VGS524151 UWW524150:UWW524151 UNA524150:UNA524151 UDE524150:UDE524151 TTI524150:TTI524151 TJM524150:TJM524151 SZQ524150:SZQ524151 SPU524150:SPU524151 SFY524150:SFY524151 RWC524150:RWC524151 RMG524150:RMG524151 RCK524150:RCK524151 QSO524150:QSO524151 QIS524150:QIS524151 PYW524150:PYW524151 PPA524150:PPA524151 PFE524150:PFE524151 OVI524150:OVI524151 OLM524150:OLM524151 OBQ524150:OBQ524151 NRU524150:NRU524151 NHY524150:NHY524151 MYC524150:MYC524151 MOG524150:MOG524151 MEK524150:MEK524151 LUO524150:LUO524151 LKS524150:LKS524151 LAW524150:LAW524151 KRA524150:KRA524151 KHE524150:KHE524151 JXI524150:JXI524151 JNM524150:JNM524151 JDQ524150:JDQ524151 ITU524150:ITU524151 IJY524150:IJY524151 IAC524150:IAC524151 HQG524150:HQG524151 HGK524150:HGK524151 GWO524150:GWO524151 GMS524150:GMS524151 GCW524150:GCW524151 FTA524150:FTA524151 FJE524150:FJE524151 EZI524150:EZI524151 EPM524150:EPM524151 EFQ524150:EFQ524151 DVU524150:DVU524151 DLY524150:DLY524151 DCC524150:DCC524151 CSG524150:CSG524151 CIK524150:CIK524151 BYO524150:BYO524151 BOS524150:BOS524151 BEW524150:BEW524151 AVA524150:AVA524151 ALE524150:ALE524151 ABI524150:ABI524151 RM524150:RM524151 HQ524150:HQ524151 WUC458614:WUC458615 WKG458614:WKG458615 WAK458614:WAK458615 VQO458614:VQO458615 VGS458614:VGS458615 UWW458614:UWW458615 UNA458614:UNA458615 UDE458614:UDE458615 TTI458614:TTI458615 TJM458614:TJM458615 SZQ458614:SZQ458615 SPU458614:SPU458615 SFY458614:SFY458615 RWC458614:RWC458615 RMG458614:RMG458615 RCK458614:RCK458615 QSO458614:QSO458615 QIS458614:QIS458615 PYW458614:PYW458615 PPA458614:PPA458615 PFE458614:PFE458615 OVI458614:OVI458615 OLM458614:OLM458615 OBQ458614:OBQ458615 NRU458614:NRU458615 NHY458614:NHY458615 MYC458614:MYC458615 MOG458614:MOG458615 MEK458614:MEK458615 LUO458614:LUO458615 LKS458614:LKS458615 LAW458614:LAW458615 KRA458614:KRA458615 KHE458614:KHE458615 JXI458614:JXI458615 JNM458614:JNM458615 JDQ458614:JDQ458615 ITU458614:ITU458615 IJY458614:IJY458615 IAC458614:IAC458615 HQG458614:HQG458615 HGK458614:HGK458615 GWO458614:GWO458615 GMS458614:GMS458615 GCW458614:GCW458615 FTA458614:FTA458615 FJE458614:FJE458615 EZI458614:EZI458615 EPM458614:EPM458615 EFQ458614:EFQ458615 DVU458614:DVU458615 DLY458614:DLY458615 DCC458614:DCC458615 CSG458614:CSG458615 CIK458614:CIK458615 BYO458614:BYO458615 BOS458614:BOS458615 BEW458614:BEW458615 AVA458614:AVA458615 ALE458614:ALE458615 ABI458614:ABI458615 RM458614:RM458615 HQ458614:HQ458615 WUC393078:WUC393079 WKG393078:WKG393079 WAK393078:WAK393079 VQO393078:VQO393079 VGS393078:VGS393079 UWW393078:UWW393079 UNA393078:UNA393079 UDE393078:UDE393079 TTI393078:TTI393079 TJM393078:TJM393079 SZQ393078:SZQ393079 SPU393078:SPU393079 SFY393078:SFY393079 RWC393078:RWC393079 RMG393078:RMG393079 RCK393078:RCK393079 QSO393078:QSO393079 QIS393078:QIS393079 PYW393078:PYW393079 PPA393078:PPA393079 PFE393078:PFE393079 OVI393078:OVI393079 OLM393078:OLM393079 OBQ393078:OBQ393079 NRU393078:NRU393079 NHY393078:NHY393079 MYC393078:MYC393079 MOG393078:MOG393079 MEK393078:MEK393079 LUO393078:LUO393079 LKS393078:LKS393079 LAW393078:LAW393079 KRA393078:KRA393079 KHE393078:KHE393079 JXI393078:JXI393079 JNM393078:JNM393079 JDQ393078:JDQ393079 ITU393078:ITU393079 IJY393078:IJY393079 IAC393078:IAC393079 HQG393078:HQG393079 HGK393078:HGK393079 GWO393078:GWO393079 GMS393078:GMS393079 GCW393078:GCW393079 FTA393078:FTA393079 FJE393078:FJE393079 EZI393078:EZI393079 EPM393078:EPM393079 EFQ393078:EFQ393079 DVU393078:DVU393079 DLY393078:DLY393079 DCC393078:DCC393079 CSG393078:CSG393079 CIK393078:CIK393079 BYO393078:BYO393079 BOS393078:BOS393079 BEW393078:BEW393079 AVA393078:AVA393079 ALE393078:ALE393079 ABI393078:ABI393079 RM393078:RM393079 HQ393078:HQ393079 WUC327542:WUC327543 WKG327542:WKG327543 WAK327542:WAK327543 VQO327542:VQO327543 VGS327542:VGS327543 UWW327542:UWW327543 UNA327542:UNA327543 UDE327542:UDE327543 TTI327542:TTI327543 TJM327542:TJM327543 SZQ327542:SZQ327543 SPU327542:SPU327543 SFY327542:SFY327543 RWC327542:RWC327543 RMG327542:RMG327543 RCK327542:RCK327543 QSO327542:QSO327543 QIS327542:QIS327543 PYW327542:PYW327543 PPA327542:PPA327543 PFE327542:PFE327543 OVI327542:OVI327543 OLM327542:OLM327543 OBQ327542:OBQ327543 NRU327542:NRU327543 NHY327542:NHY327543 MYC327542:MYC327543 MOG327542:MOG327543 MEK327542:MEK327543 LUO327542:LUO327543 LKS327542:LKS327543 LAW327542:LAW327543 KRA327542:KRA327543 KHE327542:KHE327543 JXI327542:JXI327543 JNM327542:JNM327543 JDQ327542:JDQ327543 ITU327542:ITU327543 IJY327542:IJY327543 IAC327542:IAC327543 HQG327542:HQG327543 HGK327542:HGK327543 GWO327542:GWO327543 GMS327542:GMS327543 GCW327542:GCW327543 FTA327542:FTA327543 FJE327542:FJE327543 EZI327542:EZI327543 EPM327542:EPM327543 EFQ327542:EFQ327543 DVU327542:DVU327543 DLY327542:DLY327543 DCC327542:DCC327543 CSG327542:CSG327543 CIK327542:CIK327543 BYO327542:BYO327543 BOS327542:BOS327543 BEW327542:BEW327543 AVA327542:AVA327543 ALE327542:ALE327543 ABI327542:ABI327543 RM327542:RM327543 HQ327542:HQ327543 WUC262006:WUC262007 WKG262006:WKG262007 WAK262006:WAK262007 VQO262006:VQO262007 VGS262006:VGS262007 UWW262006:UWW262007 UNA262006:UNA262007 UDE262006:UDE262007 TTI262006:TTI262007 TJM262006:TJM262007 SZQ262006:SZQ262007 SPU262006:SPU262007 SFY262006:SFY262007 RWC262006:RWC262007 RMG262006:RMG262007 RCK262006:RCK262007 QSO262006:QSO262007 QIS262006:QIS262007 PYW262006:PYW262007 PPA262006:PPA262007 PFE262006:PFE262007 OVI262006:OVI262007 OLM262006:OLM262007 OBQ262006:OBQ262007 NRU262006:NRU262007 NHY262006:NHY262007 MYC262006:MYC262007 MOG262006:MOG262007 MEK262006:MEK262007 LUO262006:LUO262007 LKS262006:LKS262007 LAW262006:LAW262007 KRA262006:KRA262007 KHE262006:KHE262007 JXI262006:JXI262007 JNM262006:JNM262007 JDQ262006:JDQ262007 ITU262006:ITU262007 IJY262006:IJY262007 IAC262006:IAC262007 HQG262006:HQG262007 HGK262006:HGK262007 GWO262006:GWO262007 GMS262006:GMS262007 GCW262006:GCW262007 FTA262006:FTA262007 FJE262006:FJE262007 EZI262006:EZI262007 EPM262006:EPM262007 EFQ262006:EFQ262007 DVU262006:DVU262007 DLY262006:DLY262007 DCC262006:DCC262007 CSG262006:CSG262007 CIK262006:CIK262007 BYO262006:BYO262007 BOS262006:BOS262007 BEW262006:BEW262007 AVA262006:AVA262007 ALE262006:ALE262007 ABI262006:ABI262007 RM262006:RM262007 HQ262006:HQ262007 WUC196470:WUC196471 WKG196470:WKG196471 WAK196470:WAK196471 VQO196470:VQO196471 VGS196470:VGS196471 UWW196470:UWW196471 UNA196470:UNA196471 UDE196470:UDE196471 TTI196470:TTI196471 TJM196470:TJM196471 SZQ196470:SZQ196471 SPU196470:SPU196471 SFY196470:SFY196471 RWC196470:RWC196471 RMG196470:RMG196471 RCK196470:RCK196471 QSO196470:QSO196471 QIS196470:QIS196471 PYW196470:PYW196471 PPA196470:PPA196471 PFE196470:PFE196471 OVI196470:OVI196471 OLM196470:OLM196471 OBQ196470:OBQ196471 NRU196470:NRU196471 NHY196470:NHY196471 MYC196470:MYC196471 MOG196470:MOG196471 MEK196470:MEK196471 LUO196470:LUO196471 LKS196470:LKS196471 LAW196470:LAW196471 KRA196470:KRA196471 KHE196470:KHE196471 JXI196470:JXI196471 JNM196470:JNM196471 JDQ196470:JDQ196471 ITU196470:ITU196471 IJY196470:IJY196471 IAC196470:IAC196471 HQG196470:HQG196471 HGK196470:HGK196471 GWO196470:GWO196471 GMS196470:GMS196471 GCW196470:GCW196471 FTA196470:FTA196471 FJE196470:FJE196471 EZI196470:EZI196471 EPM196470:EPM196471 EFQ196470:EFQ196471 DVU196470:DVU196471 DLY196470:DLY196471 DCC196470:DCC196471 CSG196470:CSG196471 CIK196470:CIK196471 BYO196470:BYO196471 BOS196470:BOS196471 BEW196470:BEW196471 AVA196470:AVA196471 ALE196470:ALE196471 ABI196470:ABI196471 RM196470:RM196471 HQ196470:HQ196471 WUC130934:WUC130935 WKG130934:WKG130935 WAK130934:WAK130935 VQO130934:VQO130935 VGS130934:VGS130935 UWW130934:UWW130935 UNA130934:UNA130935 UDE130934:UDE130935 TTI130934:TTI130935 TJM130934:TJM130935 SZQ130934:SZQ130935 SPU130934:SPU130935 SFY130934:SFY130935 RWC130934:RWC130935 RMG130934:RMG130935 RCK130934:RCK130935 QSO130934:QSO130935 QIS130934:QIS130935 PYW130934:PYW130935 PPA130934:PPA130935 PFE130934:PFE130935 OVI130934:OVI130935 OLM130934:OLM130935 OBQ130934:OBQ130935 NRU130934:NRU130935 NHY130934:NHY130935 MYC130934:MYC130935 MOG130934:MOG130935 MEK130934:MEK130935 LUO130934:LUO130935 LKS130934:LKS130935 LAW130934:LAW130935 KRA130934:KRA130935 KHE130934:KHE130935 JXI130934:JXI130935 JNM130934:JNM130935 JDQ130934:JDQ130935 ITU130934:ITU130935 IJY130934:IJY130935 IAC130934:IAC130935 HQG130934:HQG130935 HGK130934:HGK130935 GWO130934:GWO130935 GMS130934:GMS130935 GCW130934:GCW130935 FTA130934:FTA130935 FJE130934:FJE130935 EZI130934:EZI130935 EPM130934:EPM130935 EFQ130934:EFQ130935 DVU130934:DVU130935 DLY130934:DLY130935 DCC130934:DCC130935 CSG130934:CSG130935 CIK130934:CIK130935 BYO130934:BYO130935 BOS130934:BOS130935 BEW130934:BEW130935 AVA130934:AVA130935 ALE130934:ALE130935 ABI130934:ABI130935 RM130934:RM130935 HQ130934:HQ130935 WUC65398:WUC65399 WKG65398:WKG65399 WAK65398:WAK65399 VQO65398:VQO65399 VGS65398:VGS65399 UWW65398:UWW65399 UNA65398:UNA65399 UDE65398:UDE65399 TTI65398:TTI65399 TJM65398:TJM65399 SZQ65398:SZQ65399 SPU65398:SPU65399 SFY65398:SFY65399 RWC65398:RWC65399 RMG65398:RMG65399 RCK65398:RCK65399 QSO65398:QSO65399 QIS65398:QIS65399 PYW65398:PYW65399 PPA65398:PPA65399 PFE65398:PFE65399 OVI65398:OVI65399 OLM65398:OLM65399 OBQ65398:OBQ65399 NRU65398:NRU65399 NHY65398:NHY65399 MYC65398:MYC65399 MOG65398:MOG65399 MEK65398:MEK65399 LUO65398:LUO65399 LKS65398:LKS65399 LAW65398:LAW65399 KRA65398:KRA65399 KHE65398:KHE65399 JXI65398:JXI65399 JNM65398:JNM65399 JDQ65398:JDQ65399 ITU65398:ITU65399 IJY65398:IJY65399 IAC65398:IAC65399 HQG65398:HQG65399 HGK65398:HGK65399 GWO65398:GWO65399 GMS65398:GMS65399 GCW65398:GCW65399 FTA65398:FTA65399 FJE65398:FJE65399 EZI65398:EZI65399 EPM65398:EPM65399 EFQ65398:EFQ65399 DVU65398:DVU65399 DLY65398:DLY65399 DCC65398:DCC65399 CSG65398:CSG65399 CIK65398:CIK65399 BYO65398:BYO65399 BOS65398:BOS65399 BEW65398:BEW65399 AVA65398:AVA65399 ALE65398:ALE65399 ABI65398:ABI65399 RM65398:RM65399 HQ65398:HQ65399 WUC982923:WUC982924 WKG982923:WKG982924 WAK982923:WAK982924 VQO982923:VQO982924 VGS982923:VGS982924 UWW982923:UWW982924 UNA982923:UNA982924 UDE982923:UDE982924 TTI982923:TTI982924 TJM982923:TJM982924 SZQ982923:SZQ982924 SPU982923:SPU982924 SFY982923:SFY982924 RWC982923:RWC982924 RMG982923:RMG982924 RCK982923:RCK982924 QSO982923:QSO982924 QIS982923:QIS982924 PYW982923:PYW982924 PPA982923:PPA982924 PFE982923:PFE982924 OVI982923:OVI982924 OLM982923:OLM982924 OBQ982923:OBQ982924 NRU982923:NRU982924 NHY982923:NHY982924 MYC982923:MYC982924 MOG982923:MOG982924 MEK982923:MEK982924 LUO982923:LUO982924 LKS982923:LKS982924 LAW982923:LAW982924 KRA982923:KRA982924 KHE982923:KHE982924 JXI982923:JXI982924 JNM982923:JNM982924 JDQ982923:JDQ982924 ITU982923:ITU982924 IJY982923:IJY982924 IAC982923:IAC982924 HQG982923:HQG982924 HGK982923:HGK982924 GWO982923:GWO982924 GMS982923:GMS982924 GCW982923:GCW982924 FTA982923:FTA982924 FJE982923:FJE982924 EZI982923:EZI982924 EPM982923:EPM982924 EFQ982923:EFQ982924 DVU982923:DVU982924 DLY982923:DLY982924 DCC982923:DCC982924 CSG982923:CSG982924 CIK982923:CIK982924 BYO982923:BYO982924 BOS982923:BOS982924 BEW982923:BEW982924 AVA982923:AVA982924 ALE982923:ALE982924 ABI982923:ABI982924 RM982923:RM982924 HQ982923:HQ982924 WUC917387:WUC917388 WKG917387:WKG917388 WAK917387:WAK917388 VQO917387:VQO917388 VGS917387:VGS917388 UWW917387:UWW917388 UNA917387:UNA917388 UDE917387:UDE917388 TTI917387:TTI917388 TJM917387:TJM917388 SZQ917387:SZQ917388 SPU917387:SPU917388 SFY917387:SFY917388 RWC917387:RWC917388 RMG917387:RMG917388 RCK917387:RCK917388 QSO917387:QSO917388 QIS917387:QIS917388 PYW917387:PYW917388 PPA917387:PPA917388 PFE917387:PFE917388 OVI917387:OVI917388 OLM917387:OLM917388 OBQ917387:OBQ917388 NRU917387:NRU917388 NHY917387:NHY917388 MYC917387:MYC917388 MOG917387:MOG917388 MEK917387:MEK917388 LUO917387:LUO917388 LKS917387:LKS917388 LAW917387:LAW917388 KRA917387:KRA917388 KHE917387:KHE917388 JXI917387:JXI917388 JNM917387:JNM917388 JDQ917387:JDQ917388 ITU917387:ITU917388 IJY917387:IJY917388 IAC917387:IAC917388 HQG917387:HQG917388 HGK917387:HGK917388 GWO917387:GWO917388 GMS917387:GMS917388 GCW917387:GCW917388 FTA917387:FTA917388 FJE917387:FJE917388 EZI917387:EZI917388 EPM917387:EPM917388 EFQ917387:EFQ917388 DVU917387:DVU917388 DLY917387:DLY917388 DCC917387:DCC917388 CSG917387:CSG917388 CIK917387:CIK917388 BYO917387:BYO917388 BOS917387:BOS917388 BEW917387:BEW917388 AVA917387:AVA917388 ALE917387:ALE917388 ABI917387:ABI917388 RM917387:RM917388 HQ917387:HQ917388 WUC851851:WUC851852 WKG851851:WKG851852 WAK851851:WAK851852 VQO851851:VQO851852 VGS851851:VGS851852 UWW851851:UWW851852 UNA851851:UNA851852 UDE851851:UDE851852 TTI851851:TTI851852 TJM851851:TJM851852 SZQ851851:SZQ851852 SPU851851:SPU851852 SFY851851:SFY851852 RWC851851:RWC851852 RMG851851:RMG851852 RCK851851:RCK851852 QSO851851:QSO851852 QIS851851:QIS851852 PYW851851:PYW851852 PPA851851:PPA851852 PFE851851:PFE851852 OVI851851:OVI851852 OLM851851:OLM851852 OBQ851851:OBQ851852 NRU851851:NRU851852 NHY851851:NHY851852 MYC851851:MYC851852 MOG851851:MOG851852 MEK851851:MEK851852 LUO851851:LUO851852 LKS851851:LKS851852 LAW851851:LAW851852 KRA851851:KRA851852 KHE851851:KHE851852 JXI851851:JXI851852 JNM851851:JNM851852 JDQ851851:JDQ851852 ITU851851:ITU851852 IJY851851:IJY851852 IAC851851:IAC851852 HQG851851:HQG851852 HGK851851:HGK851852 GWO851851:GWO851852 GMS851851:GMS851852 GCW851851:GCW851852 FTA851851:FTA851852 FJE851851:FJE851852 EZI851851:EZI851852 EPM851851:EPM851852 EFQ851851:EFQ851852 DVU851851:DVU851852 DLY851851:DLY851852 DCC851851:DCC851852 CSG851851:CSG851852 CIK851851:CIK851852 BYO851851:BYO851852 BOS851851:BOS851852 BEW851851:BEW851852 AVA851851:AVA851852 ALE851851:ALE851852 ABI851851:ABI851852 RM851851:RM851852 HQ851851:HQ851852 WUC786315:WUC786316 WKG786315:WKG786316 WAK786315:WAK786316 VQO786315:VQO786316 VGS786315:VGS786316 UWW786315:UWW786316 UNA786315:UNA786316 UDE786315:UDE786316 TTI786315:TTI786316 TJM786315:TJM786316 SZQ786315:SZQ786316 SPU786315:SPU786316 SFY786315:SFY786316 RWC786315:RWC786316 RMG786315:RMG786316 RCK786315:RCK786316 QSO786315:QSO786316 QIS786315:QIS786316 PYW786315:PYW786316 PPA786315:PPA786316 PFE786315:PFE786316 OVI786315:OVI786316 OLM786315:OLM786316 OBQ786315:OBQ786316 NRU786315:NRU786316 NHY786315:NHY786316 MYC786315:MYC786316 MOG786315:MOG786316 MEK786315:MEK786316 LUO786315:LUO786316 LKS786315:LKS786316 LAW786315:LAW786316 KRA786315:KRA786316 KHE786315:KHE786316 JXI786315:JXI786316 JNM786315:JNM786316 JDQ786315:JDQ786316 ITU786315:ITU786316 IJY786315:IJY786316 IAC786315:IAC786316 HQG786315:HQG786316 HGK786315:HGK786316 GWO786315:GWO786316 GMS786315:GMS786316 GCW786315:GCW786316 FTA786315:FTA786316 FJE786315:FJE786316 EZI786315:EZI786316 EPM786315:EPM786316 EFQ786315:EFQ786316 DVU786315:DVU786316 DLY786315:DLY786316 DCC786315:DCC786316 CSG786315:CSG786316 CIK786315:CIK786316 BYO786315:BYO786316 BOS786315:BOS786316 BEW786315:BEW786316 AVA786315:AVA786316 ALE786315:ALE786316 ABI786315:ABI786316 RM786315:RM786316 HQ786315:HQ786316 WUC720779:WUC720780 WKG720779:WKG720780 WAK720779:WAK720780 VQO720779:VQO720780 VGS720779:VGS720780 UWW720779:UWW720780 UNA720779:UNA720780 UDE720779:UDE720780 TTI720779:TTI720780 TJM720779:TJM720780 SZQ720779:SZQ720780 SPU720779:SPU720780 SFY720779:SFY720780 RWC720779:RWC720780 RMG720779:RMG720780 RCK720779:RCK720780 QSO720779:QSO720780 QIS720779:QIS720780 PYW720779:PYW720780 PPA720779:PPA720780 PFE720779:PFE720780 OVI720779:OVI720780 OLM720779:OLM720780 OBQ720779:OBQ720780 NRU720779:NRU720780 NHY720779:NHY720780 MYC720779:MYC720780 MOG720779:MOG720780 MEK720779:MEK720780 LUO720779:LUO720780 LKS720779:LKS720780 LAW720779:LAW720780 KRA720779:KRA720780 KHE720779:KHE720780 JXI720779:JXI720780 JNM720779:JNM720780 JDQ720779:JDQ720780 ITU720779:ITU720780 IJY720779:IJY720780 IAC720779:IAC720780 HQG720779:HQG720780 HGK720779:HGK720780 GWO720779:GWO720780 GMS720779:GMS720780 GCW720779:GCW720780 FTA720779:FTA720780 FJE720779:FJE720780 EZI720779:EZI720780 EPM720779:EPM720780 EFQ720779:EFQ720780 DVU720779:DVU720780 DLY720779:DLY720780 DCC720779:DCC720780 CSG720779:CSG720780 CIK720779:CIK720780 BYO720779:BYO720780 BOS720779:BOS720780 BEW720779:BEW720780 AVA720779:AVA720780 ALE720779:ALE720780 ABI720779:ABI720780 RM720779:RM720780 HQ720779:HQ720780 WUC655243:WUC655244 WKG655243:WKG655244 WAK655243:WAK655244 VQO655243:VQO655244 VGS655243:VGS655244 UWW655243:UWW655244 UNA655243:UNA655244 UDE655243:UDE655244 TTI655243:TTI655244 TJM655243:TJM655244 SZQ655243:SZQ655244 SPU655243:SPU655244 SFY655243:SFY655244 RWC655243:RWC655244 RMG655243:RMG655244 RCK655243:RCK655244 QSO655243:QSO655244 QIS655243:QIS655244 PYW655243:PYW655244 PPA655243:PPA655244 PFE655243:PFE655244 OVI655243:OVI655244 OLM655243:OLM655244 OBQ655243:OBQ655244 NRU655243:NRU655244 NHY655243:NHY655244 MYC655243:MYC655244 MOG655243:MOG655244 MEK655243:MEK655244 LUO655243:LUO655244 LKS655243:LKS655244 LAW655243:LAW655244 KRA655243:KRA655244 KHE655243:KHE655244 JXI655243:JXI655244 JNM655243:JNM655244 JDQ655243:JDQ655244 ITU655243:ITU655244 IJY655243:IJY655244 IAC655243:IAC655244 HQG655243:HQG655244 HGK655243:HGK655244 GWO655243:GWO655244 GMS655243:GMS655244 GCW655243:GCW655244 FTA655243:FTA655244 FJE655243:FJE655244 EZI655243:EZI655244 EPM655243:EPM655244 EFQ655243:EFQ655244 DVU655243:DVU655244 DLY655243:DLY655244 DCC655243:DCC655244 CSG655243:CSG655244 CIK655243:CIK655244 BYO655243:BYO655244 BOS655243:BOS655244 BEW655243:BEW655244 AVA655243:AVA655244 ALE655243:ALE655244 ABI655243:ABI655244 RM655243:RM655244 HQ655243:HQ655244 WUC589707:WUC589708 WKG589707:WKG589708 WAK589707:WAK589708 VQO589707:VQO589708 VGS589707:VGS589708 UWW589707:UWW589708 UNA589707:UNA589708 UDE589707:UDE589708 TTI589707:TTI589708 TJM589707:TJM589708 SZQ589707:SZQ589708 SPU589707:SPU589708 SFY589707:SFY589708 RWC589707:RWC589708 RMG589707:RMG589708 RCK589707:RCK589708 QSO589707:QSO589708 QIS589707:QIS589708 PYW589707:PYW589708 PPA589707:PPA589708 PFE589707:PFE589708 OVI589707:OVI589708 OLM589707:OLM589708 OBQ589707:OBQ589708 NRU589707:NRU589708 NHY589707:NHY589708 MYC589707:MYC589708 MOG589707:MOG589708 MEK589707:MEK589708 LUO589707:LUO589708 LKS589707:LKS589708 LAW589707:LAW589708 KRA589707:KRA589708 KHE589707:KHE589708 JXI589707:JXI589708 JNM589707:JNM589708 JDQ589707:JDQ589708 ITU589707:ITU589708 IJY589707:IJY589708 IAC589707:IAC589708 HQG589707:HQG589708 HGK589707:HGK589708 GWO589707:GWO589708 GMS589707:GMS589708 GCW589707:GCW589708 FTA589707:FTA589708 FJE589707:FJE589708 EZI589707:EZI589708 EPM589707:EPM589708 EFQ589707:EFQ589708 DVU589707:DVU589708 DLY589707:DLY589708 DCC589707:DCC589708 CSG589707:CSG589708 CIK589707:CIK589708 BYO589707:BYO589708 BOS589707:BOS589708 BEW589707:BEW589708 AVA589707:AVA589708 ALE589707:ALE589708 ABI589707:ABI589708 RM589707:RM589708 HQ589707:HQ589708 WUC524171:WUC524172 WKG524171:WKG524172 WAK524171:WAK524172 VQO524171:VQO524172 VGS524171:VGS524172 UWW524171:UWW524172 UNA524171:UNA524172 UDE524171:UDE524172 TTI524171:TTI524172 TJM524171:TJM524172 SZQ524171:SZQ524172 SPU524171:SPU524172 SFY524171:SFY524172 RWC524171:RWC524172 RMG524171:RMG524172 RCK524171:RCK524172 QSO524171:QSO524172 QIS524171:QIS524172 PYW524171:PYW524172 PPA524171:PPA524172 PFE524171:PFE524172 OVI524171:OVI524172 OLM524171:OLM524172 OBQ524171:OBQ524172 NRU524171:NRU524172 NHY524171:NHY524172 MYC524171:MYC524172 MOG524171:MOG524172 MEK524171:MEK524172 LUO524171:LUO524172 LKS524171:LKS524172 LAW524171:LAW524172 KRA524171:KRA524172 KHE524171:KHE524172 JXI524171:JXI524172 JNM524171:JNM524172 JDQ524171:JDQ524172 ITU524171:ITU524172 IJY524171:IJY524172 IAC524171:IAC524172 HQG524171:HQG524172 HGK524171:HGK524172 GWO524171:GWO524172 GMS524171:GMS524172 GCW524171:GCW524172 FTA524171:FTA524172 FJE524171:FJE524172 EZI524171:EZI524172 EPM524171:EPM524172 EFQ524171:EFQ524172 DVU524171:DVU524172 DLY524171:DLY524172 DCC524171:DCC524172 CSG524171:CSG524172 CIK524171:CIK524172 BYO524171:BYO524172 BOS524171:BOS524172 BEW524171:BEW524172 AVA524171:AVA524172 ALE524171:ALE524172 ABI524171:ABI524172 RM524171:RM524172 HQ524171:HQ524172 WUC458635:WUC458636 WKG458635:WKG458636 WAK458635:WAK458636 VQO458635:VQO458636 VGS458635:VGS458636 UWW458635:UWW458636 UNA458635:UNA458636 UDE458635:UDE458636 TTI458635:TTI458636 TJM458635:TJM458636 SZQ458635:SZQ458636 SPU458635:SPU458636 SFY458635:SFY458636 RWC458635:RWC458636 RMG458635:RMG458636 RCK458635:RCK458636 QSO458635:QSO458636 QIS458635:QIS458636 PYW458635:PYW458636 PPA458635:PPA458636 PFE458635:PFE458636 OVI458635:OVI458636 OLM458635:OLM458636 OBQ458635:OBQ458636 NRU458635:NRU458636 NHY458635:NHY458636 MYC458635:MYC458636 MOG458635:MOG458636 MEK458635:MEK458636 LUO458635:LUO458636 LKS458635:LKS458636 LAW458635:LAW458636 KRA458635:KRA458636 KHE458635:KHE458636 JXI458635:JXI458636 JNM458635:JNM458636 JDQ458635:JDQ458636 ITU458635:ITU458636 IJY458635:IJY458636 IAC458635:IAC458636 HQG458635:HQG458636 HGK458635:HGK458636 GWO458635:GWO458636 GMS458635:GMS458636 GCW458635:GCW458636 FTA458635:FTA458636 FJE458635:FJE458636 EZI458635:EZI458636 EPM458635:EPM458636 EFQ458635:EFQ458636 DVU458635:DVU458636 DLY458635:DLY458636 DCC458635:DCC458636 CSG458635:CSG458636 CIK458635:CIK458636 BYO458635:BYO458636 BOS458635:BOS458636 BEW458635:BEW458636 AVA458635:AVA458636 ALE458635:ALE458636 ABI458635:ABI458636 RM458635:RM458636 HQ458635:HQ458636 WUC393099:WUC393100 WKG393099:WKG393100 WAK393099:WAK393100 VQO393099:VQO393100 VGS393099:VGS393100 UWW393099:UWW393100 UNA393099:UNA393100 UDE393099:UDE393100 TTI393099:TTI393100 TJM393099:TJM393100 SZQ393099:SZQ393100 SPU393099:SPU393100 SFY393099:SFY393100 RWC393099:RWC393100 RMG393099:RMG393100 RCK393099:RCK393100 QSO393099:QSO393100 QIS393099:QIS393100 PYW393099:PYW393100 PPA393099:PPA393100 PFE393099:PFE393100 OVI393099:OVI393100 OLM393099:OLM393100 OBQ393099:OBQ393100 NRU393099:NRU393100 NHY393099:NHY393100 MYC393099:MYC393100 MOG393099:MOG393100 MEK393099:MEK393100 LUO393099:LUO393100 LKS393099:LKS393100 LAW393099:LAW393100 KRA393099:KRA393100 KHE393099:KHE393100 JXI393099:JXI393100 JNM393099:JNM393100 JDQ393099:JDQ393100 ITU393099:ITU393100 IJY393099:IJY393100 IAC393099:IAC393100 HQG393099:HQG393100 HGK393099:HGK393100 GWO393099:GWO393100 GMS393099:GMS393100 GCW393099:GCW393100 FTA393099:FTA393100 FJE393099:FJE393100 EZI393099:EZI393100 EPM393099:EPM393100 EFQ393099:EFQ393100 DVU393099:DVU393100 DLY393099:DLY393100 DCC393099:DCC393100 CSG393099:CSG393100 CIK393099:CIK393100 BYO393099:BYO393100 BOS393099:BOS393100 BEW393099:BEW393100 AVA393099:AVA393100 ALE393099:ALE393100 ABI393099:ABI393100 RM393099:RM393100 HQ393099:HQ393100 WUC327563:WUC327564 WKG327563:WKG327564 WAK327563:WAK327564 VQO327563:VQO327564 VGS327563:VGS327564 UWW327563:UWW327564 UNA327563:UNA327564 UDE327563:UDE327564 TTI327563:TTI327564 TJM327563:TJM327564 SZQ327563:SZQ327564 SPU327563:SPU327564 SFY327563:SFY327564 RWC327563:RWC327564 RMG327563:RMG327564 RCK327563:RCK327564 QSO327563:QSO327564 QIS327563:QIS327564 PYW327563:PYW327564 PPA327563:PPA327564 PFE327563:PFE327564 OVI327563:OVI327564 OLM327563:OLM327564 OBQ327563:OBQ327564 NRU327563:NRU327564 NHY327563:NHY327564 MYC327563:MYC327564 MOG327563:MOG327564 MEK327563:MEK327564 LUO327563:LUO327564 LKS327563:LKS327564 LAW327563:LAW327564 KRA327563:KRA327564 KHE327563:KHE327564 JXI327563:JXI327564 JNM327563:JNM327564 JDQ327563:JDQ327564 ITU327563:ITU327564 IJY327563:IJY327564 IAC327563:IAC327564 HQG327563:HQG327564 HGK327563:HGK327564 GWO327563:GWO327564 GMS327563:GMS327564 GCW327563:GCW327564 FTA327563:FTA327564 FJE327563:FJE327564 EZI327563:EZI327564 EPM327563:EPM327564 EFQ327563:EFQ327564 DVU327563:DVU327564 DLY327563:DLY327564 DCC327563:DCC327564 CSG327563:CSG327564 CIK327563:CIK327564 BYO327563:BYO327564 BOS327563:BOS327564 BEW327563:BEW327564 AVA327563:AVA327564 ALE327563:ALE327564 ABI327563:ABI327564 RM327563:RM327564 HQ327563:HQ327564 WUC262027:WUC262028 WKG262027:WKG262028 WAK262027:WAK262028 VQO262027:VQO262028 VGS262027:VGS262028 UWW262027:UWW262028 UNA262027:UNA262028 UDE262027:UDE262028 TTI262027:TTI262028 TJM262027:TJM262028 SZQ262027:SZQ262028 SPU262027:SPU262028 SFY262027:SFY262028 RWC262027:RWC262028 RMG262027:RMG262028 RCK262027:RCK262028 QSO262027:QSO262028 QIS262027:QIS262028 PYW262027:PYW262028 PPA262027:PPA262028 PFE262027:PFE262028 OVI262027:OVI262028 OLM262027:OLM262028 OBQ262027:OBQ262028 NRU262027:NRU262028 NHY262027:NHY262028 MYC262027:MYC262028 MOG262027:MOG262028 MEK262027:MEK262028 LUO262027:LUO262028 LKS262027:LKS262028 LAW262027:LAW262028 KRA262027:KRA262028 KHE262027:KHE262028 JXI262027:JXI262028 JNM262027:JNM262028 JDQ262027:JDQ262028 ITU262027:ITU262028 IJY262027:IJY262028 IAC262027:IAC262028 HQG262027:HQG262028 HGK262027:HGK262028 GWO262027:GWO262028 GMS262027:GMS262028 GCW262027:GCW262028 FTA262027:FTA262028 FJE262027:FJE262028 EZI262027:EZI262028 EPM262027:EPM262028 EFQ262027:EFQ262028 DVU262027:DVU262028 DLY262027:DLY262028 DCC262027:DCC262028 CSG262027:CSG262028 CIK262027:CIK262028 BYO262027:BYO262028 BOS262027:BOS262028 BEW262027:BEW262028 AVA262027:AVA262028 ALE262027:ALE262028 ABI262027:ABI262028 RM262027:RM262028 HQ262027:HQ262028 WUC196491:WUC196492 WKG196491:WKG196492 WAK196491:WAK196492 VQO196491:VQO196492 VGS196491:VGS196492 UWW196491:UWW196492 UNA196491:UNA196492 UDE196491:UDE196492 TTI196491:TTI196492 TJM196491:TJM196492 SZQ196491:SZQ196492 SPU196491:SPU196492 SFY196491:SFY196492 RWC196491:RWC196492 RMG196491:RMG196492 RCK196491:RCK196492 QSO196491:QSO196492 QIS196491:QIS196492 PYW196491:PYW196492 PPA196491:PPA196492 PFE196491:PFE196492 OVI196491:OVI196492 OLM196491:OLM196492 OBQ196491:OBQ196492 NRU196491:NRU196492 NHY196491:NHY196492 MYC196491:MYC196492 MOG196491:MOG196492 MEK196491:MEK196492 LUO196491:LUO196492 LKS196491:LKS196492 LAW196491:LAW196492 KRA196491:KRA196492 KHE196491:KHE196492 JXI196491:JXI196492 JNM196491:JNM196492 JDQ196491:JDQ196492 ITU196491:ITU196492 IJY196491:IJY196492 IAC196491:IAC196492 HQG196491:HQG196492 HGK196491:HGK196492 GWO196491:GWO196492 GMS196491:GMS196492 GCW196491:GCW196492 FTA196491:FTA196492 FJE196491:FJE196492 EZI196491:EZI196492 EPM196491:EPM196492 EFQ196491:EFQ196492 DVU196491:DVU196492 DLY196491:DLY196492 DCC196491:DCC196492 CSG196491:CSG196492 CIK196491:CIK196492 BYO196491:BYO196492 BOS196491:BOS196492 BEW196491:BEW196492 AVA196491:AVA196492 ALE196491:ALE196492 ABI196491:ABI196492 RM196491:RM196492 HQ196491:HQ196492 WUC130955:WUC130956 WKG130955:WKG130956 WAK130955:WAK130956 VQO130955:VQO130956 VGS130955:VGS130956 UWW130955:UWW130956 UNA130955:UNA130956 UDE130955:UDE130956 TTI130955:TTI130956 TJM130955:TJM130956 SZQ130955:SZQ130956 SPU130955:SPU130956 SFY130955:SFY130956 RWC130955:RWC130956 RMG130955:RMG130956 RCK130955:RCK130956 QSO130955:QSO130956 QIS130955:QIS130956 PYW130955:PYW130956 PPA130955:PPA130956 PFE130955:PFE130956 OVI130955:OVI130956 OLM130955:OLM130956 OBQ130955:OBQ130956 NRU130955:NRU130956 NHY130955:NHY130956 MYC130955:MYC130956 MOG130955:MOG130956 MEK130955:MEK130956 LUO130955:LUO130956 LKS130955:LKS130956 LAW130955:LAW130956 KRA130955:KRA130956 KHE130955:KHE130956 JXI130955:JXI130956 JNM130955:JNM130956 JDQ130955:JDQ130956 ITU130955:ITU130956 IJY130955:IJY130956 IAC130955:IAC130956 HQG130955:HQG130956 HGK130955:HGK130956 GWO130955:GWO130956 GMS130955:GMS130956 GCW130955:GCW130956 FTA130955:FTA130956 FJE130955:FJE130956 EZI130955:EZI130956 EPM130955:EPM130956 EFQ130955:EFQ130956 DVU130955:DVU130956 DLY130955:DLY130956 DCC130955:DCC130956 CSG130955:CSG130956 CIK130955:CIK130956 BYO130955:BYO130956 BOS130955:BOS130956 BEW130955:BEW130956 AVA130955:AVA130956 ALE130955:ALE130956 ABI130955:ABI130956 RM130955:RM130956 HQ130955:HQ130956 WUC65419:WUC65420 WKG65419:WKG65420 WAK65419:WAK65420 VQO65419:VQO65420 VGS65419:VGS65420 UWW65419:UWW65420 UNA65419:UNA65420 UDE65419:UDE65420 TTI65419:TTI65420 TJM65419:TJM65420 SZQ65419:SZQ65420 SPU65419:SPU65420 SFY65419:SFY65420 RWC65419:RWC65420 RMG65419:RMG65420 RCK65419:RCK65420 QSO65419:QSO65420 QIS65419:QIS65420 PYW65419:PYW65420 PPA65419:PPA65420 PFE65419:PFE65420 OVI65419:OVI65420 OLM65419:OLM65420 OBQ65419:OBQ65420 NRU65419:NRU65420 NHY65419:NHY65420 MYC65419:MYC65420 MOG65419:MOG65420 MEK65419:MEK65420 LUO65419:LUO65420 LKS65419:LKS65420 LAW65419:LAW65420 KRA65419:KRA65420 KHE65419:KHE65420 JXI65419:JXI65420 JNM65419:JNM65420 JDQ65419:JDQ65420 ITU65419:ITU65420 IJY65419:IJY65420 IAC65419:IAC65420 HQG65419:HQG65420 HGK65419:HGK65420 GWO65419:GWO65420 GMS65419:GMS65420 GCW65419:GCW65420 FTA65419:FTA65420 FJE65419:FJE65420 EZI65419:EZI65420 EPM65419:EPM65420 EFQ65419:EFQ65420 DVU65419:DVU65420 DLY65419:DLY65420 DCC65419:DCC65420 CSG65419:CSG65420 CIK65419:CIK65420 BYO65419:BYO65420 BOS65419:BOS65420 BEW65419:BEW65420 AVA65419:AVA65420 ALE65419:ALE65420 ABI65419:ABI65420 RM65419:RM65420 HQ65419:HQ65420 WUC982933:WUC982934 WKG982933:WKG982934 WAK982933:WAK982934 VQO982933:VQO982934 VGS982933:VGS982934 UWW982933:UWW982934 UNA982933:UNA982934 UDE982933:UDE982934 TTI982933:TTI982934 TJM982933:TJM982934 SZQ982933:SZQ982934 SPU982933:SPU982934 SFY982933:SFY982934 RWC982933:RWC982934 RMG982933:RMG982934 RCK982933:RCK982934 QSO982933:QSO982934 QIS982933:QIS982934 PYW982933:PYW982934 PPA982933:PPA982934 PFE982933:PFE982934 OVI982933:OVI982934 OLM982933:OLM982934 OBQ982933:OBQ982934 NRU982933:NRU982934 NHY982933:NHY982934 MYC982933:MYC982934 MOG982933:MOG982934 MEK982933:MEK982934 LUO982933:LUO982934 LKS982933:LKS982934 LAW982933:LAW982934 KRA982933:KRA982934 KHE982933:KHE982934 JXI982933:JXI982934 JNM982933:JNM982934 JDQ982933:JDQ982934 ITU982933:ITU982934 IJY982933:IJY982934 IAC982933:IAC982934 HQG982933:HQG982934 HGK982933:HGK982934 GWO982933:GWO982934 GMS982933:GMS982934 GCW982933:GCW982934 FTA982933:FTA982934 FJE982933:FJE982934 EZI982933:EZI982934 EPM982933:EPM982934 EFQ982933:EFQ982934 DVU982933:DVU982934 DLY982933:DLY982934 DCC982933:DCC982934 CSG982933:CSG982934 CIK982933:CIK982934 BYO982933:BYO982934 BOS982933:BOS982934 BEW982933:BEW982934 AVA982933:AVA982934 ALE982933:ALE982934 ABI982933:ABI982934 RM982933:RM982934 HQ982933:HQ982934 WUC917397:WUC917398 WKG917397:WKG917398 WAK917397:WAK917398 VQO917397:VQO917398 VGS917397:VGS917398 UWW917397:UWW917398 UNA917397:UNA917398 UDE917397:UDE917398 TTI917397:TTI917398 TJM917397:TJM917398 SZQ917397:SZQ917398 SPU917397:SPU917398 SFY917397:SFY917398 RWC917397:RWC917398 RMG917397:RMG917398 RCK917397:RCK917398 QSO917397:QSO917398 QIS917397:QIS917398 PYW917397:PYW917398 PPA917397:PPA917398 PFE917397:PFE917398 OVI917397:OVI917398 OLM917397:OLM917398 OBQ917397:OBQ917398 NRU917397:NRU917398 NHY917397:NHY917398 MYC917397:MYC917398 MOG917397:MOG917398 MEK917397:MEK917398 LUO917397:LUO917398 LKS917397:LKS917398 LAW917397:LAW917398 KRA917397:KRA917398 KHE917397:KHE917398 JXI917397:JXI917398 JNM917397:JNM917398 JDQ917397:JDQ917398 ITU917397:ITU917398 IJY917397:IJY917398 IAC917397:IAC917398 HQG917397:HQG917398 HGK917397:HGK917398 GWO917397:GWO917398 GMS917397:GMS917398 GCW917397:GCW917398 FTA917397:FTA917398 FJE917397:FJE917398 EZI917397:EZI917398 EPM917397:EPM917398 EFQ917397:EFQ917398 DVU917397:DVU917398 DLY917397:DLY917398 DCC917397:DCC917398 CSG917397:CSG917398 CIK917397:CIK917398 BYO917397:BYO917398 BOS917397:BOS917398 BEW917397:BEW917398 AVA917397:AVA917398 ALE917397:ALE917398 ABI917397:ABI917398 RM917397:RM917398 HQ917397:HQ917398 WUC851861:WUC851862 WKG851861:WKG851862 WAK851861:WAK851862 VQO851861:VQO851862 VGS851861:VGS851862 UWW851861:UWW851862 UNA851861:UNA851862 UDE851861:UDE851862 TTI851861:TTI851862 TJM851861:TJM851862 SZQ851861:SZQ851862 SPU851861:SPU851862 SFY851861:SFY851862 RWC851861:RWC851862 RMG851861:RMG851862 RCK851861:RCK851862 QSO851861:QSO851862 QIS851861:QIS851862 PYW851861:PYW851862 PPA851861:PPA851862 PFE851861:PFE851862 OVI851861:OVI851862 OLM851861:OLM851862 OBQ851861:OBQ851862 NRU851861:NRU851862 NHY851861:NHY851862 MYC851861:MYC851862 MOG851861:MOG851862 MEK851861:MEK851862 LUO851861:LUO851862 LKS851861:LKS851862 LAW851861:LAW851862 KRA851861:KRA851862 KHE851861:KHE851862 JXI851861:JXI851862 JNM851861:JNM851862 JDQ851861:JDQ851862 ITU851861:ITU851862 IJY851861:IJY851862 IAC851861:IAC851862 HQG851861:HQG851862 HGK851861:HGK851862 GWO851861:GWO851862 GMS851861:GMS851862 GCW851861:GCW851862 FTA851861:FTA851862 FJE851861:FJE851862 EZI851861:EZI851862 EPM851861:EPM851862 EFQ851861:EFQ851862 DVU851861:DVU851862 DLY851861:DLY851862 DCC851861:DCC851862 CSG851861:CSG851862 CIK851861:CIK851862 BYO851861:BYO851862 BOS851861:BOS851862 BEW851861:BEW851862 AVA851861:AVA851862 ALE851861:ALE851862 ABI851861:ABI851862 RM851861:RM851862 HQ851861:HQ851862 WUC786325:WUC786326 WKG786325:WKG786326 WAK786325:WAK786326 VQO786325:VQO786326 VGS786325:VGS786326 UWW786325:UWW786326 UNA786325:UNA786326 UDE786325:UDE786326 TTI786325:TTI786326 TJM786325:TJM786326 SZQ786325:SZQ786326 SPU786325:SPU786326 SFY786325:SFY786326 RWC786325:RWC786326 RMG786325:RMG786326 RCK786325:RCK786326 QSO786325:QSO786326 QIS786325:QIS786326 PYW786325:PYW786326 PPA786325:PPA786326 PFE786325:PFE786326 OVI786325:OVI786326 OLM786325:OLM786326 OBQ786325:OBQ786326 NRU786325:NRU786326 NHY786325:NHY786326 MYC786325:MYC786326 MOG786325:MOG786326 MEK786325:MEK786326 LUO786325:LUO786326 LKS786325:LKS786326 LAW786325:LAW786326 KRA786325:KRA786326 KHE786325:KHE786326 JXI786325:JXI786326 JNM786325:JNM786326 JDQ786325:JDQ786326 ITU786325:ITU786326 IJY786325:IJY786326 IAC786325:IAC786326 HQG786325:HQG786326 HGK786325:HGK786326 GWO786325:GWO786326 GMS786325:GMS786326 GCW786325:GCW786326 FTA786325:FTA786326 FJE786325:FJE786326 EZI786325:EZI786326 EPM786325:EPM786326 EFQ786325:EFQ786326 DVU786325:DVU786326 DLY786325:DLY786326 DCC786325:DCC786326 CSG786325:CSG786326 CIK786325:CIK786326 BYO786325:BYO786326 BOS786325:BOS786326 BEW786325:BEW786326 AVA786325:AVA786326 ALE786325:ALE786326 ABI786325:ABI786326 RM786325:RM786326 HQ786325:HQ786326 WUC720789:WUC720790 WKG720789:WKG720790 WAK720789:WAK720790 VQO720789:VQO720790 VGS720789:VGS720790 UWW720789:UWW720790 UNA720789:UNA720790 UDE720789:UDE720790 TTI720789:TTI720790 TJM720789:TJM720790 SZQ720789:SZQ720790 SPU720789:SPU720790 SFY720789:SFY720790 RWC720789:RWC720790 RMG720789:RMG720790 RCK720789:RCK720790 QSO720789:QSO720790 QIS720789:QIS720790 PYW720789:PYW720790 PPA720789:PPA720790 PFE720789:PFE720790 OVI720789:OVI720790 OLM720789:OLM720790 OBQ720789:OBQ720790 NRU720789:NRU720790 NHY720789:NHY720790 MYC720789:MYC720790 MOG720789:MOG720790 MEK720789:MEK720790 LUO720789:LUO720790 LKS720789:LKS720790 LAW720789:LAW720790 KRA720789:KRA720790 KHE720789:KHE720790 JXI720789:JXI720790 JNM720789:JNM720790 JDQ720789:JDQ720790 ITU720789:ITU720790 IJY720789:IJY720790 IAC720789:IAC720790 HQG720789:HQG720790 HGK720789:HGK720790 GWO720789:GWO720790 GMS720789:GMS720790 GCW720789:GCW720790 FTA720789:FTA720790 FJE720789:FJE720790 EZI720789:EZI720790 EPM720789:EPM720790 EFQ720789:EFQ720790 DVU720789:DVU720790 DLY720789:DLY720790 DCC720789:DCC720790 CSG720789:CSG720790 CIK720789:CIK720790 BYO720789:BYO720790 BOS720789:BOS720790 BEW720789:BEW720790 AVA720789:AVA720790 ALE720789:ALE720790 ABI720789:ABI720790 RM720789:RM720790 HQ720789:HQ720790 WUC655253:WUC655254 WKG655253:WKG655254 WAK655253:WAK655254 VQO655253:VQO655254 VGS655253:VGS655254 UWW655253:UWW655254 UNA655253:UNA655254 UDE655253:UDE655254 TTI655253:TTI655254 TJM655253:TJM655254 SZQ655253:SZQ655254 SPU655253:SPU655254 SFY655253:SFY655254 RWC655253:RWC655254 RMG655253:RMG655254 RCK655253:RCK655254 QSO655253:QSO655254 QIS655253:QIS655254 PYW655253:PYW655254 PPA655253:PPA655254 PFE655253:PFE655254 OVI655253:OVI655254 OLM655253:OLM655254 OBQ655253:OBQ655254 NRU655253:NRU655254 NHY655253:NHY655254 MYC655253:MYC655254 MOG655253:MOG655254 MEK655253:MEK655254 LUO655253:LUO655254 LKS655253:LKS655254 LAW655253:LAW655254 KRA655253:KRA655254 KHE655253:KHE655254 JXI655253:JXI655254 JNM655253:JNM655254 JDQ655253:JDQ655254 ITU655253:ITU655254 IJY655253:IJY655254 IAC655253:IAC655254 HQG655253:HQG655254 HGK655253:HGK655254 GWO655253:GWO655254 GMS655253:GMS655254 GCW655253:GCW655254 FTA655253:FTA655254 FJE655253:FJE655254 EZI655253:EZI655254 EPM655253:EPM655254 EFQ655253:EFQ655254 DVU655253:DVU655254 DLY655253:DLY655254 DCC655253:DCC655254 CSG655253:CSG655254 CIK655253:CIK655254 BYO655253:BYO655254 BOS655253:BOS655254 BEW655253:BEW655254 AVA655253:AVA655254 ALE655253:ALE655254 ABI655253:ABI655254 RM655253:RM655254 HQ655253:HQ655254 WUC589717:WUC589718 WKG589717:WKG589718 WAK589717:WAK589718 VQO589717:VQO589718 VGS589717:VGS589718 UWW589717:UWW589718 UNA589717:UNA589718 UDE589717:UDE589718 TTI589717:TTI589718 TJM589717:TJM589718 SZQ589717:SZQ589718 SPU589717:SPU589718 SFY589717:SFY589718 RWC589717:RWC589718 RMG589717:RMG589718 RCK589717:RCK589718 QSO589717:QSO589718 QIS589717:QIS589718 PYW589717:PYW589718 PPA589717:PPA589718 PFE589717:PFE589718 OVI589717:OVI589718 OLM589717:OLM589718 OBQ589717:OBQ589718 NRU589717:NRU589718 NHY589717:NHY589718 MYC589717:MYC589718 MOG589717:MOG589718 MEK589717:MEK589718 LUO589717:LUO589718 LKS589717:LKS589718 LAW589717:LAW589718 KRA589717:KRA589718 KHE589717:KHE589718 JXI589717:JXI589718 JNM589717:JNM589718 JDQ589717:JDQ589718 ITU589717:ITU589718 IJY589717:IJY589718 IAC589717:IAC589718 HQG589717:HQG589718 HGK589717:HGK589718 GWO589717:GWO589718 GMS589717:GMS589718 GCW589717:GCW589718 FTA589717:FTA589718 FJE589717:FJE589718 EZI589717:EZI589718 EPM589717:EPM589718 EFQ589717:EFQ589718 DVU589717:DVU589718 DLY589717:DLY589718 DCC589717:DCC589718 CSG589717:CSG589718 CIK589717:CIK589718 BYO589717:BYO589718 BOS589717:BOS589718 BEW589717:BEW589718 AVA589717:AVA589718 ALE589717:ALE589718 ABI589717:ABI589718 RM589717:RM589718 HQ589717:HQ589718 WUC524181:WUC524182 WKG524181:WKG524182 WAK524181:WAK524182 VQO524181:VQO524182 VGS524181:VGS524182 UWW524181:UWW524182 UNA524181:UNA524182 UDE524181:UDE524182 TTI524181:TTI524182 TJM524181:TJM524182 SZQ524181:SZQ524182 SPU524181:SPU524182 SFY524181:SFY524182 RWC524181:RWC524182 RMG524181:RMG524182 RCK524181:RCK524182 QSO524181:QSO524182 QIS524181:QIS524182 PYW524181:PYW524182 PPA524181:PPA524182 PFE524181:PFE524182 OVI524181:OVI524182 OLM524181:OLM524182 OBQ524181:OBQ524182 NRU524181:NRU524182 NHY524181:NHY524182 MYC524181:MYC524182 MOG524181:MOG524182 MEK524181:MEK524182 LUO524181:LUO524182 LKS524181:LKS524182 LAW524181:LAW524182 KRA524181:KRA524182 KHE524181:KHE524182 JXI524181:JXI524182 JNM524181:JNM524182 JDQ524181:JDQ524182 ITU524181:ITU524182 IJY524181:IJY524182 IAC524181:IAC524182 HQG524181:HQG524182 HGK524181:HGK524182 GWO524181:GWO524182 GMS524181:GMS524182 GCW524181:GCW524182 FTA524181:FTA524182 FJE524181:FJE524182 EZI524181:EZI524182 EPM524181:EPM524182 EFQ524181:EFQ524182 DVU524181:DVU524182 DLY524181:DLY524182 DCC524181:DCC524182 CSG524181:CSG524182 CIK524181:CIK524182 BYO524181:BYO524182 BOS524181:BOS524182 BEW524181:BEW524182 AVA524181:AVA524182 ALE524181:ALE524182 ABI524181:ABI524182 RM524181:RM524182 HQ524181:HQ524182 WUC458645:WUC458646 WKG458645:WKG458646 WAK458645:WAK458646 VQO458645:VQO458646 VGS458645:VGS458646 UWW458645:UWW458646 UNA458645:UNA458646 UDE458645:UDE458646 TTI458645:TTI458646 TJM458645:TJM458646 SZQ458645:SZQ458646 SPU458645:SPU458646 SFY458645:SFY458646 RWC458645:RWC458646 RMG458645:RMG458646 RCK458645:RCK458646 QSO458645:QSO458646 QIS458645:QIS458646 PYW458645:PYW458646 PPA458645:PPA458646 PFE458645:PFE458646 OVI458645:OVI458646 OLM458645:OLM458646 OBQ458645:OBQ458646 NRU458645:NRU458646 NHY458645:NHY458646 MYC458645:MYC458646 MOG458645:MOG458646 MEK458645:MEK458646 LUO458645:LUO458646 LKS458645:LKS458646 LAW458645:LAW458646 KRA458645:KRA458646 KHE458645:KHE458646 JXI458645:JXI458646 JNM458645:JNM458646 JDQ458645:JDQ458646 ITU458645:ITU458646 IJY458645:IJY458646 IAC458645:IAC458646 HQG458645:HQG458646 HGK458645:HGK458646 GWO458645:GWO458646 GMS458645:GMS458646 GCW458645:GCW458646 FTA458645:FTA458646 FJE458645:FJE458646 EZI458645:EZI458646 EPM458645:EPM458646 EFQ458645:EFQ458646 DVU458645:DVU458646 DLY458645:DLY458646 DCC458645:DCC458646 CSG458645:CSG458646 CIK458645:CIK458646 BYO458645:BYO458646 BOS458645:BOS458646 BEW458645:BEW458646 AVA458645:AVA458646 ALE458645:ALE458646 ABI458645:ABI458646 RM458645:RM458646 HQ458645:HQ458646 WUC393109:WUC393110 WKG393109:WKG393110 WAK393109:WAK393110 VQO393109:VQO393110 VGS393109:VGS393110 UWW393109:UWW393110 UNA393109:UNA393110 UDE393109:UDE393110 TTI393109:TTI393110 TJM393109:TJM393110 SZQ393109:SZQ393110 SPU393109:SPU393110 SFY393109:SFY393110 RWC393109:RWC393110 RMG393109:RMG393110 RCK393109:RCK393110 QSO393109:QSO393110 QIS393109:QIS393110 PYW393109:PYW393110 PPA393109:PPA393110 PFE393109:PFE393110 OVI393109:OVI393110 OLM393109:OLM393110 OBQ393109:OBQ393110 NRU393109:NRU393110 NHY393109:NHY393110 MYC393109:MYC393110 MOG393109:MOG393110 MEK393109:MEK393110 LUO393109:LUO393110 LKS393109:LKS393110 LAW393109:LAW393110 KRA393109:KRA393110 KHE393109:KHE393110 JXI393109:JXI393110 JNM393109:JNM393110 JDQ393109:JDQ393110 ITU393109:ITU393110 IJY393109:IJY393110 IAC393109:IAC393110 HQG393109:HQG393110 HGK393109:HGK393110 GWO393109:GWO393110 GMS393109:GMS393110 GCW393109:GCW393110 FTA393109:FTA393110 FJE393109:FJE393110 EZI393109:EZI393110 EPM393109:EPM393110 EFQ393109:EFQ393110 DVU393109:DVU393110 DLY393109:DLY393110 DCC393109:DCC393110 CSG393109:CSG393110 CIK393109:CIK393110 BYO393109:BYO393110 BOS393109:BOS393110 BEW393109:BEW393110 AVA393109:AVA393110 ALE393109:ALE393110 ABI393109:ABI393110 RM393109:RM393110 HQ393109:HQ393110 WUC327573:WUC327574 WKG327573:WKG327574 WAK327573:WAK327574 VQO327573:VQO327574 VGS327573:VGS327574 UWW327573:UWW327574 UNA327573:UNA327574 UDE327573:UDE327574 TTI327573:TTI327574 TJM327573:TJM327574 SZQ327573:SZQ327574 SPU327573:SPU327574 SFY327573:SFY327574 RWC327573:RWC327574 RMG327573:RMG327574 RCK327573:RCK327574 QSO327573:QSO327574 QIS327573:QIS327574 PYW327573:PYW327574 PPA327573:PPA327574 PFE327573:PFE327574 OVI327573:OVI327574 OLM327573:OLM327574 OBQ327573:OBQ327574 NRU327573:NRU327574 NHY327573:NHY327574 MYC327573:MYC327574 MOG327573:MOG327574 MEK327573:MEK327574 LUO327573:LUO327574 LKS327573:LKS327574 LAW327573:LAW327574 KRA327573:KRA327574 KHE327573:KHE327574 JXI327573:JXI327574 JNM327573:JNM327574 JDQ327573:JDQ327574 ITU327573:ITU327574 IJY327573:IJY327574 IAC327573:IAC327574 HQG327573:HQG327574 HGK327573:HGK327574 GWO327573:GWO327574 GMS327573:GMS327574 GCW327573:GCW327574 FTA327573:FTA327574 FJE327573:FJE327574 EZI327573:EZI327574 EPM327573:EPM327574 EFQ327573:EFQ327574 DVU327573:DVU327574 DLY327573:DLY327574 DCC327573:DCC327574 CSG327573:CSG327574 CIK327573:CIK327574 BYO327573:BYO327574 BOS327573:BOS327574 BEW327573:BEW327574 AVA327573:AVA327574 ALE327573:ALE327574 ABI327573:ABI327574 RM327573:RM327574 HQ327573:HQ327574 WUC262037:WUC262038 WKG262037:WKG262038 WAK262037:WAK262038 VQO262037:VQO262038 VGS262037:VGS262038 UWW262037:UWW262038 UNA262037:UNA262038 UDE262037:UDE262038 TTI262037:TTI262038 TJM262037:TJM262038 SZQ262037:SZQ262038 SPU262037:SPU262038 SFY262037:SFY262038 RWC262037:RWC262038 RMG262037:RMG262038 RCK262037:RCK262038 QSO262037:QSO262038 QIS262037:QIS262038 PYW262037:PYW262038 PPA262037:PPA262038 PFE262037:PFE262038 OVI262037:OVI262038 OLM262037:OLM262038 OBQ262037:OBQ262038 NRU262037:NRU262038 NHY262037:NHY262038 MYC262037:MYC262038 MOG262037:MOG262038 MEK262037:MEK262038 LUO262037:LUO262038 LKS262037:LKS262038 LAW262037:LAW262038 KRA262037:KRA262038 KHE262037:KHE262038 JXI262037:JXI262038 JNM262037:JNM262038 JDQ262037:JDQ262038 ITU262037:ITU262038 IJY262037:IJY262038 IAC262037:IAC262038 HQG262037:HQG262038 HGK262037:HGK262038 GWO262037:GWO262038 GMS262037:GMS262038 GCW262037:GCW262038 FTA262037:FTA262038 FJE262037:FJE262038 EZI262037:EZI262038 EPM262037:EPM262038 EFQ262037:EFQ262038 DVU262037:DVU262038 DLY262037:DLY262038 DCC262037:DCC262038 CSG262037:CSG262038 CIK262037:CIK262038 BYO262037:BYO262038 BOS262037:BOS262038 BEW262037:BEW262038 AVA262037:AVA262038 ALE262037:ALE262038 ABI262037:ABI262038 RM262037:RM262038 HQ262037:HQ262038 WUC196501:WUC196502 WKG196501:WKG196502 WAK196501:WAK196502 VQO196501:VQO196502 VGS196501:VGS196502 UWW196501:UWW196502 UNA196501:UNA196502 UDE196501:UDE196502 TTI196501:TTI196502 TJM196501:TJM196502 SZQ196501:SZQ196502 SPU196501:SPU196502 SFY196501:SFY196502 RWC196501:RWC196502 RMG196501:RMG196502 RCK196501:RCK196502 QSO196501:QSO196502 QIS196501:QIS196502 PYW196501:PYW196502 PPA196501:PPA196502 PFE196501:PFE196502 OVI196501:OVI196502 OLM196501:OLM196502 OBQ196501:OBQ196502 NRU196501:NRU196502 NHY196501:NHY196502 MYC196501:MYC196502 MOG196501:MOG196502 MEK196501:MEK196502 LUO196501:LUO196502 LKS196501:LKS196502 LAW196501:LAW196502 KRA196501:KRA196502 KHE196501:KHE196502 JXI196501:JXI196502 JNM196501:JNM196502 JDQ196501:JDQ196502 ITU196501:ITU196502 IJY196501:IJY196502 IAC196501:IAC196502 HQG196501:HQG196502 HGK196501:HGK196502 GWO196501:GWO196502 GMS196501:GMS196502 GCW196501:GCW196502 FTA196501:FTA196502 FJE196501:FJE196502 EZI196501:EZI196502 EPM196501:EPM196502 EFQ196501:EFQ196502 DVU196501:DVU196502 DLY196501:DLY196502 DCC196501:DCC196502 CSG196501:CSG196502 CIK196501:CIK196502 BYO196501:BYO196502 BOS196501:BOS196502 BEW196501:BEW196502 AVA196501:AVA196502 ALE196501:ALE196502 ABI196501:ABI196502 RM196501:RM196502 HQ196501:HQ196502 WUC130965:WUC130966 WKG130965:WKG130966 WAK130965:WAK130966 VQO130965:VQO130966 VGS130965:VGS130966 UWW130965:UWW130966 UNA130965:UNA130966 UDE130965:UDE130966 TTI130965:TTI130966 TJM130965:TJM130966 SZQ130965:SZQ130966 SPU130965:SPU130966 SFY130965:SFY130966 RWC130965:RWC130966 RMG130965:RMG130966 RCK130965:RCK130966 QSO130965:QSO130966 QIS130965:QIS130966 PYW130965:PYW130966 PPA130965:PPA130966 PFE130965:PFE130966 OVI130965:OVI130966 OLM130965:OLM130966 OBQ130965:OBQ130966 NRU130965:NRU130966 NHY130965:NHY130966 MYC130965:MYC130966 MOG130965:MOG130966 MEK130965:MEK130966 LUO130965:LUO130966 LKS130965:LKS130966 LAW130965:LAW130966 KRA130965:KRA130966 KHE130965:KHE130966 JXI130965:JXI130966 JNM130965:JNM130966 JDQ130965:JDQ130966 ITU130965:ITU130966 IJY130965:IJY130966 IAC130965:IAC130966 HQG130965:HQG130966 HGK130965:HGK130966 GWO130965:GWO130966 GMS130965:GMS130966 GCW130965:GCW130966 FTA130965:FTA130966 FJE130965:FJE130966 EZI130965:EZI130966 EPM130965:EPM130966 EFQ130965:EFQ130966 DVU130965:DVU130966 DLY130965:DLY130966 DCC130965:DCC130966 CSG130965:CSG130966 CIK130965:CIK130966 BYO130965:BYO130966 BOS130965:BOS130966 BEW130965:BEW130966 AVA130965:AVA130966 ALE130965:ALE130966 ABI130965:ABI130966 RM130965:RM130966 HQ130965:HQ130966 WUC65429:WUC65430 WKG65429:WKG65430 WAK65429:WAK65430 VQO65429:VQO65430 VGS65429:VGS65430 UWW65429:UWW65430 UNA65429:UNA65430 UDE65429:UDE65430 TTI65429:TTI65430 TJM65429:TJM65430 SZQ65429:SZQ65430 SPU65429:SPU65430 SFY65429:SFY65430 RWC65429:RWC65430 RMG65429:RMG65430 RCK65429:RCK65430 QSO65429:QSO65430 QIS65429:QIS65430 PYW65429:PYW65430 PPA65429:PPA65430 PFE65429:PFE65430 OVI65429:OVI65430 OLM65429:OLM65430 OBQ65429:OBQ65430 NRU65429:NRU65430 NHY65429:NHY65430 MYC65429:MYC65430 MOG65429:MOG65430 MEK65429:MEK65430 LUO65429:LUO65430 LKS65429:LKS65430 LAW65429:LAW65430 KRA65429:KRA65430 KHE65429:KHE65430 JXI65429:JXI65430 JNM65429:JNM65430 JDQ65429:JDQ65430 ITU65429:ITU65430 IJY65429:IJY65430 IAC65429:IAC65430 HQG65429:HQG65430 HGK65429:HGK65430 GWO65429:GWO65430 GMS65429:GMS65430 GCW65429:GCW65430 FTA65429:FTA65430 FJE65429:FJE65430 EZI65429:EZI65430 EPM65429:EPM65430 EFQ65429:EFQ65430 DVU65429:DVU65430 DLY65429:DLY65430 DCC65429:DCC65430 CSG65429:CSG65430 CIK65429:CIK65430 BYO65429:BYO65430 BOS65429:BOS65430 BEW65429:BEW65430 AVA65429:AVA65430 ALE65429:ALE65430 ABI65429:ABI65430 RM65429:RM65430 HQ65429:HQ65430 WUC982957 WKG982957 WAK982957 VQO982957 VGS982957 UWW982957 UNA982957 UDE982957 TTI982957 TJM982957 SZQ982957 SPU982957 SFY982957 RWC982957 RMG982957 RCK982957 QSO982957 QIS982957 PYW982957 PPA982957 PFE982957 OVI982957 OLM982957 OBQ982957 NRU982957 NHY982957 MYC982957 MOG982957 MEK982957 LUO982957 LKS982957 LAW982957 KRA982957 KHE982957 JXI982957 JNM982957 JDQ982957 ITU982957 IJY982957 IAC982957 HQG982957 HGK982957 GWO982957 GMS982957 GCW982957 FTA982957 FJE982957 EZI982957 EPM982957 EFQ982957 DVU982957 DLY982957 DCC982957 CSG982957 CIK982957 BYO982957 BOS982957 BEW982957 AVA982957 ALE982957 ABI982957 RM982957 HQ982957 WUC917421 WKG917421 WAK917421 VQO917421 VGS917421 UWW917421 UNA917421 UDE917421 TTI917421 TJM917421 SZQ917421 SPU917421 SFY917421 RWC917421 RMG917421 RCK917421 QSO917421 QIS917421 PYW917421 PPA917421 PFE917421 OVI917421 OLM917421 OBQ917421 NRU917421 NHY917421 MYC917421 MOG917421 MEK917421 LUO917421 LKS917421 LAW917421 KRA917421 KHE917421 JXI917421 JNM917421 JDQ917421 ITU917421 IJY917421 IAC917421 HQG917421 HGK917421 GWO917421 GMS917421 GCW917421 FTA917421 FJE917421 EZI917421 EPM917421 EFQ917421 DVU917421 DLY917421 DCC917421 CSG917421 CIK917421 BYO917421 BOS917421 BEW917421 AVA917421 ALE917421 ABI917421 RM917421 HQ917421 WUC851885 WKG851885 WAK851885 VQO851885 VGS851885 UWW851885 UNA851885 UDE851885 TTI851885 TJM851885 SZQ851885 SPU851885 SFY851885 RWC851885 RMG851885 RCK851885 QSO851885 QIS851885 PYW851885 PPA851885 PFE851885 OVI851885 OLM851885 OBQ851885 NRU851885 NHY851885 MYC851885 MOG851885 MEK851885 LUO851885 LKS851885 LAW851885 KRA851885 KHE851885 JXI851885 JNM851885 JDQ851885 ITU851885 IJY851885 IAC851885 HQG851885 HGK851885 GWO851885 GMS851885 GCW851885 FTA851885 FJE851885 EZI851885 EPM851885 EFQ851885 DVU851885 DLY851885 DCC851885 CSG851885 CIK851885 BYO851885 BOS851885 BEW851885 AVA851885 ALE851885 ABI851885 RM851885 HQ851885 WUC786349 WKG786349 WAK786349 VQO786349 VGS786349 UWW786349 UNA786349 UDE786349 TTI786349 TJM786349 SZQ786349 SPU786349 SFY786349 RWC786349 RMG786349 RCK786349 QSO786349 QIS786349 PYW786349 PPA786349 PFE786349 OVI786349 OLM786349 OBQ786349 NRU786349 NHY786349 MYC786349 MOG786349 MEK786349 LUO786349 LKS786349 LAW786349 KRA786349 KHE786349 JXI786349 JNM786349 JDQ786349 ITU786349 IJY786349 IAC786349 HQG786349 HGK786349 GWO786349 GMS786349 GCW786349 FTA786349 FJE786349 EZI786349 EPM786349 EFQ786349 DVU786349 DLY786349 DCC786349 CSG786349 CIK786349 BYO786349 BOS786349 BEW786349 AVA786349 ALE786349 ABI786349 RM786349 HQ786349 WUC720813 WKG720813 WAK720813 VQO720813 VGS720813 UWW720813 UNA720813 UDE720813 TTI720813 TJM720813 SZQ720813 SPU720813 SFY720813 RWC720813 RMG720813 RCK720813 QSO720813 QIS720813 PYW720813 PPA720813 PFE720813 OVI720813 OLM720813 OBQ720813 NRU720813 NHY720813 MYC720813 MOG720813 MEK720813 LUO720813 LKS720813 LAW720813 KRA720813 KHE720813 JXI720813 JNM720813 JDQ720813 ITU720813 IJY720813 IAC720813 HQG720813 HGK720813 GWO720813 GMS720813 GCW720813 FTA720813 FJE720813 EZI720813 EPM720813 EFQ720813 DVU720813 DLY720813 DCC720813 CSG720813 CIK720813 BYO720813 BOS720813 BEW720813 AVA720813 ALE720813 ABI720813 RM720813 HQ720813 WUC655277 WKG655277 WAK655277 VQO655277 VGS655277 UWW655277 UNA655277 UDE655277 TTI655277 TJM655277 SZQ655277 SPU655277 SFY655277 RWC655277 RMG655277 RCK655277 QSO655277 QIS655277 PYW655277 PPA655277 PFE655277 OVI655277 OLM655277 OBQ655277 NRU655277 NHY655277 MYC655277 MOG655277 MEK655277 LUO655277 LKS655277 LAW655277 KRA655277 KHE655277 JXI655277 JNM655277 JDQ655277 ITU655277 IJY655277 IAC655277 HQG655277 HGK655277 GWO655277 GMS655277 GCW655277 FTA655277 FJE655277 EZI655277 EPM655277 EFQ655277 DVU655277 DLY655277 DCC655277 CSG655277 CIK655277 BYO655277 BOS655277 BEW655277 AVA655277 ALE655277 ABI655277 RM655277 HQ655277 WUC589741 WKG589741 WAK589741 VQO589741 VGS589741 UWW589741 UNA589741 UDE589741 TTI589741 TJM589741 SZQ589741 SPU589741 SFY589741 RWC589741 RMG589741 RCK589741 QSO589741 QIS589741 PYW589741 PPA589741 PFE589741 OVI589741 OLM589741 OBQ589741 NRU589741 NHY589741 MYC589741 MOG589741 MEK589741 LUO589741 LKS589741 LAW589741 KRA589741 KHE589741 JXI589741 JNM589741 JDQ589741 ITU589741 IJY589741 IAC589741 HQG589741 HGK589741 GWO589741 GMS589741 GCW589741 FTA589741 FJE589741 EZI589741 EPM589741 EFQ589741 DVU589741 DLY589741 DCC589741 CSG589741 CIK589741 BYO589741 BOS589741 BEW589741 AVA589741 ALE589741 ABI589741 RM589741 HQ589741 WUC524205 WKG524205 WAK524205 VQO524205 VGS524205 UWW524205 UNA524205 UDE524205 TTI524205 TJM524205 SZQ524205 SPU524205 SFY524205 RWC524205 RMG524205 RCK524205 QSO524205 QIS524205 PYW524205 PPA524205 PFE524205 OVI524205 OLM524205 OBQ524205 NRU524205 NHY524205 MYC524205 MOG524205 MEK524205 LUO524205 LKS524205 LAW524205 KRA524205 KHE524205 JXI524205 JNM524205 JDQ524205 ITU524205 IJY524205 IAC524205 HQG524205 HGK524205 GWO524205 GMS524205 GCW524205 FTA524205 FJE524205 EZI524205 EPM524205 EFQ524205 DVU524205 DLY524205 DCC524205 CSG524205 CIK524205 BYO524205 BOS524205 BEW524205 AVA524205 ALE524205 ABI524205 RM524205 HQ524205 WUC458669 WKG458669 WAK458669 VQO458669 VGS458669 UWW458669 UNA458669 UDE458669 TTI458669 TJM458669 SZQ458669 SPU458669 SFY458669 RWC458669 RMG458669 RCK458669 QSO458669 QIS458669 PYW458669 PPA458669 PFE458669 OVI458669 OLM458669 OBQ458669 NRU458669 NHY458669 MYC458669 MOG458669 MEK458669 LUO458669 LKS458669 LAW458669 KRA458669 KHE458669 JXI458669 JNM458669 JDQ458669 ITU458669 IJY458669 IAC458669 HQG458669 HGK458669 GWO458669 GMS458669 GCW458669 FTA458669 FJE458669 EZI458669 EPM458669 EFQ458669 DVU458669 DLY458669 DCC458669 CSG458669 CIK458669 BYO458669 BOS458669 BEW458669 AVA458669 ALE458669 ABI458669 RM458669 HQ458669 WUC393133 WKG393133 WAK393133 VQO393133 VGS393133 UWW393133 UNA393133 UDE393133 TTI393133 TJM393133 SZQ393133 SPU393133 SFY393133 RWC393133 RMG393133 RCK393133 QSO393133 QIS393133 PYW393133 PPA393133 PFE393133 OVI393133 OLM393133 OBQ393133 NRU393133 NHY393133 MYC393133 MOG393133 MEK393133 LUO393133 LKS393133 LAW393133 KRA393133 KHE393133 JXI393133 JNM393133 JDQ393133 ITU393133 IJY393133 IAC393133 HQG393133 HGK393133 GWO393133 GMS393133 GCW393133 FTA393133 FJE393133 EZI393133 EPM393133 EFQ393133 DVU393133 DLY393133 DCC393133 CSG393133 CIK393133 BYO393133 BOS393133 BEW393133 AVA393133 ALE393133 ABI393133 RM393133 HQ393133 WUC327597 WKG327597 WAK327597 VQO327597 VGS327597 UWW327597 UNA327597 UDE327597 TTI327597 TJM327597 SZQ327597 SPU327597 SFY327597 RWC327597 RMG327597 RCK327597 QSO327597 QIS327597 PYW327597 PPA327597 PFE327597 OVI327597 OLM327597 OBQ327597 NRU327597 NHY327597 MYC327597 MOG327597 MEK327597 LUO327597 LKS327597 LAW327597 KRA327597 KHE327597 JXI327597 JNM327597 JDQ327597 ITU327597 IJY327597 IAC327597 HQG327597 HGK327597 GWO327597 GMS327597 GCW327597 FTA327597 FJE327597 EZI327597 EPM327597 EFQ327597 DVU327597 DLY327597 DCC327597 CSG327597 CIK327597 BYO327597 BOS327597 BEW327597 AVA327597 ALE327597 ABI327597 RM327597 HQ327597 WUC262061 WKG262061 WAK262061 VQO262061 VGS262061 UWW262061 UNA262061 UDE262061 TTI262061 TJM262061 SZQ262061 SPU262061 SFY262061 RWC262061 RMG262061 RCK262061 QSO262061 QIS262061 PYW262061 PPA262061 PFE262061 OVI262061 OLM262061 OBQ262061 NRU262061 NHY262061 MYC262061 MOG262061 MEK262061 LUO262061 LKS262061 LAW262061 KRA262061 KHE262061 JXI262061 JNM262061 JDQ262061 ITU262061 IJY262061 IAC262061 HQG262061 HGK262061 GWO262061 GMS262061 GCW262061 FTA262061 FJE262061 EZI262061 EPM262061 EFQ262061 DVU262061 DLY262061 DCC262061 CSG262061 CIK262061 BYO262061 BOS262061 BEW262061 AVA262061 ALE262061 ABI262061 RM262061 HQ262061 WUC196525 WKG196525 WAK196525 VQO196525 VGS196525 UWW196525 UNA196525 UDE196525 TTI196525 TJM196525 SZQ196525 SPU196525 SFY196525 RWC196525 RMG196525 RCK196525 QSO196525 QIS196525 PYW196525 PPA196525 PFE196525 OVI196525 OLM196525 OBQ196525 NRU196525 NHY196525 MYC196525 MOG196525 MEK196525 LUO196525 LKS196525 LAW196525 KRA196525 KHE196525 JXI196525 JNM196525 JDQ196525 ITU196525 IJY196525 IAC196525 HQG196525 HGK196525 GWO196525 GMS196525 GCW196525 FTA196525 FJE196525 EZI196525 EPM196525 EFQ196525 DVU196525 DLY196525 DCC196525 CSG196525 CIK196525 BYO196525 BOS196525 BEW196525 AVA196525 ALE196525 ABI196525 RM196525 HQ196525 WUC130989 WKG130989 WAK130989 VQO130989 VGS130989 UWW130989 UNA130989 UDE130989 TTI130989 TJM130989 SZQ130989 SPU130989 SFY130989 RWC130989 RMG130989 RCK130989 QSO130989 QIS130989 PYW130989 PPA130989 PFE130989 OVI130989 OLM130989 OBQ130989 NRU130989 NHY130989 MYC130989 MOG130989 MEK130989 LUO130989 LKS130989 LAW130989 KRA130989 KHE130989 JXI130989 JNM130989 JDQ130989 ITU130989 IJY130989 IAC130989 HQG130989 HGK130989 GWO130989 GMS130989 GCW130989 FTA130989 FJE130989 EZI130989 EPM130989 EFQ130989 DVU130989 DLY130989 DCC130989 CSG130989 CIK130989 BYO130989 BOS130989 BEW130989 AVA130989 ALE130989 ABI130989 RM130989 HQ130989 WUC65453 WKG65453 WAK65453 VQO65453 VGS65453 UWW65453 UNA65453 UDE65453 TTI65453 TJM65453 SZQ65453 SPU65453 SFY65453 RWC65453 RMG65453 RCK65453 QSO65453 QIS65453 PYW65453 PPA65453 PFE65453 OVI65453 OLM65453 OBQ65453 NRU65453 NHY65453 MYC65453 MOG65453 MEK65453 LUO65453 LKS65453 LAW65453 KRA65453 KHE65453 JXI65453 JNM65453 JDQ65453 ITU65453 IJY65453 IAC65453 HQG65453 HGK65453 GWO65453 GMS65453 GCW65453 FTA65453 FJE65453 EZI65453 EPM65453 EFQ65453 DVU65453 DLY65453 DCC65453 CSG65453 CIK65453 BYO65453 BOS65453 BEW65453 AVA65453 ALE65453 ABI65453 RM65453 HQ65453 WUC983011 WKG983011 WAK983011 VQO983011 VGS983011 UWW983011 UNA983011 UDE983011 TTI983011 TJM983011 SZQ983011 SPU983011 SFY983011 RWC983011 RMG983011 RCK983011 QSO983011 QIS983011 PYW983011 PPA983011 PFE983011 OVI983011 OLM983011 OBQ983011 NRU983011 NHY983011 MYC983011 MOG983011 MEK983011 LUO983011 LKS983011 LAW983011 KRA983011 KHE983011 JXI983011 JNM983011 JDQ983011 ITU983011 IJY983011 IAC983011 HQG983011 HGK983011 GWO983011 GMS983011 GCW983011 FTA983011 FJE983011 EZI983011 EPM983011 EFQ983011 DVU983011 DLY983011 DCC983011 CSG983011 CIK983011 BYO983011 BOS983011 BEW983011 AVA983011 ALE983011 ABI983011 RM983011 HQ983011 WUC917475 WKG917475 WAK917475 VQO917475 VGS917475 UWW917475 UNA917475 UDE917475 TTI917475 TJM917475 SZQ917475 SPU917475 SFY917475 RWC917475 RMG917475 RCK917475 QSO917475 QIS917475 PYW917475 PPA917475 PFE917475 OVI917475 OLM917475 OBQ917475 NRU917475 NHY917475 MYC917475 MOG917475 MEK917475 LUO917475 LKS917475 LAW917475 KRA917475 KHE917475 JXI917475 JNM917475 JDQ917475 ITU917475 IJY917475 IAC917475 HQG917475 HGK917475 GWO917475 GMS917475 GCW917475 FTA917475 FJE917475 EZI917475 EPM917475 EFQ917475 DVU917475 DLY917475 DCC917475 CSG917475 CIK917475 BYO917475 BOS917475 BEW917475 AVA917475 ALE917475 ABI917475 RM917475 HQ917475 WUC851939 WKG851939 WAK851939 VQO851939 VGS851939 UWW851939 UNA851939 UDE851939 TTI851939 TJM851939 SZQ851939 SPU851939 SFY851939 RWC851939 RMG851939 RCK851939 QSO851939 QIS851939 PYW851939 PPA851939 PFE851939 OVI851939 OLM851939 OBQ851939 NRU851939 NHY851939 MYC851939 MOG851939 MEK851939 LUO851939 LKS851939 LAW851939 KRA851939 KHE851939 JXI851939 JNM851939 JDQ851939 ITU851939 IJY851939 IAC851939 HQG851939 HGK851939 GWO851939 GMS851939 GCW851939 FTA851939 FJE851939 EZI851939 EPM851939 EFQ851939 DVU851939 DLY851939 DCC851939 CSG851939 CIK851939 BYO851939 BOS851939 BEW851939 AVA851939 ALE851939 ABI851939 RM851939 HQ851939 WUC786403 WKG786403 WAK786403 VQO786403 VGS786403 UWW786403 UNA786403 UDE786403 TTI786403 TJM786403 SZQ786403 SPU786403 SFY786403 RWC786403 RMG786403 RCK786403 QSO786403 QIS786403 PYW786403 PPA786403 PFE786403 OVI786403 OLM786403 OBQ786403 NRU786403 NHY786403 MYC786403 MOG786403 MEK786403 LUO786403 LKS786403 LAW786403 KRA786403 KHE786403 JXI786403 JNM786403 JDQ786403 ITU786403 IJY786403 IAC786403 HQG786403 HGK786403 GWO786403 GMS786403 GCW786403 FTA786403 FJE786403 EZI786403 EPM786403 EFQ786403 DVU786403 DLY786403 DCC786403 CSG786403 CIK786403 BYO786403 BOS786403 BEW786403 AVA786403 ALE786403 ABI786403 RM786403 HQ786403 WUC720867 WKG720867 WAK720867 VQO720867 VGS720867 UWW720867 UNA720867 UDE720867 TTI720867 TJM720867 SZQ720867 SPU720867 SFY720867 RWC720867 RMG720867 RCK720867 QSO720867 QIS720867 PYW720867 PPA720867 PFE720867 OVI720867 OLM720867 OBQ720867 NRU720867 NHY720867 MYC720867 MOG720867 MEK720867 LUO720867 LKS720867 LAW720867 KRA720867 KHE720867 JXI720867 JNM720867 JDQ720867 ITU720867 IJY720867 IAC720867 HQG720867 HGK720867 GWO720867 GMS720867 GCW720867 FTA720867 FJE720867 EZI720867 EPM720867 EFQ720867 DVU720867 DLY720867 DCC720867 CSG720867 CIK720867 BYO720867 BOS720867 BEW720867 AVA720867 ALE720867 ABI720867 RM720867 HQ720867 WUC655331 WKG655331 WAK655331 VQO655331 VGS655331 UWW655331 UNA655331 UDE655331 TTI655331 TJM655331 SZQ655331 SPU655331 SFY655331 RWC655331 RMG655331 RCK655331 QSO655331 QIS655331 PYW655331 PPA655331 PFE655331 OVI655331 OLM655331 OBQ655331 NRU655331 NHY655331 MYC655331 MOG655331 MEK655331 LUO655331 LKS655331 LAW655331 KRA655331 KHE655331 JXI655331 JNM655331 JDQ655331 ITU655331 IJY655331 IAC655331 HQG655331 HGK655331 GWO655331 GMS655331 GCW655331 FTA655331 FJE655331 EZI655331 EPM655331 EFQ655331 DVU655331 DLY655331 DCC655331 CSG655331 CIK655331 BYO655331 BOS655331 BEW655331 AVA655331 ALE655331 ABI655331 RM655331 HQ655331 WUC589795 WKG589795 WAK589795 VQO589795 VGS589795 UWW589795 UNA589795 UDE589795 TTI589795 TJM589795 SZQ589795 SPU589795 SFY589795 RWC589795 RMG589795 RCK589795 QSO589795 QIS589795 PYW589795 PPA589795 PFE589795 OVI589795 OLM589795 OBQ589795 NRU589795 NHY589795 MYC589795 MOG589795 MEK589795 LUO589795 LKS589795 LAW589795 KRA589795 KHE589795 JXI589795 JNM589795 JDQ589795 ITU589795 IJY589795 IAC589795 HQG589795 HGK589795 GWO589795 GMS589795 GCW589795 FTA589795 FJE589795 EZI589795 EPM589795 EFQ589795 DVU589795 DLY589795 DCC589795 CSG589795 CIK589795 BYO589795 BOS589795 BEW589795 AVA589795 ALE589795 ABI589795 RM589795 HQ589795 WUC524259 WKG524259 WAK524259 VQO524259 VGS524259 UWW524259 UNA524259 UDE524259 TTI524259 TJM524259 SZQ524259 SPU524259 SFY524259 RWC524259 RMG524259 RCK524259 QSO524259 QIS524259 PYW524259 PPA524259 PFE524259 OVI524259 OLM524259 OBQ524259 NRU524259 NHY524259 MYC524259 MOG524259 MEK524259 LUO524259 LKS524259 LAW524259 KRA524259 KHE524259 JXI524259 JNM524259 JDQ524259 ITU524259 IJY524259 IAC524259 HQG524259 HGK524259 GWO524259 GMS524259 GCW524259 FTA524259 FJE524259 EZI524259 EPM524259 EFQ524259 DVU524259 DLY524259 DCC524259 CSG524259 CIK524259 BYO524259 BOS524259 BEW524259 AVA524259 ALE524259 ABI524259 RM524259 HQ524259 WUC458723 WKG458723 WAK458723 VQO458723 VGS458723 UWW458723 UNA458723 UDE458723 TTI458723 TJM458723 SZQ458723 SPU458723 SFY458723 RWC458723 RMG458723 RCK458723 QSO458723 QIS458723 PYW458723 PPA458723 PFE458723 OVI458723 OLM458723 OBQ458723 NRU458723 NHY458723 MYC458723 MOG458723 MEK458723 LUO458723 LKS458723 LAW458723 KRA458723 KHE458723 JXI458723 JNM458723 JDQ458723 ITU458723 IJY458723 IAC458723 HQG458723 HGK458723 GWO458723 GMS458723 GCW458723 FTA458723 FJE458723 EZI458723 EPM458723 EFQ458723 DVU458723 DLY458723 DCC458723 CSG458723 CIK458723 BYO458723 BOS458723 BEW458723 AVA458723 ALE458723 ABI458723 RM458723 HQ458723 WUC393187 WKG393187 WAK393187 VQO393187 VGS393187 UWW393187 UNA393187 UDE393187 TTI393187 TJM393187 SZQ393187 SPU393187 SFY393187 RWC393187 RMG393187 RCK393187 QSO393187 QIS393187 PYW393187 PPA393187 PFE393187 OVI393187 OLM393187 OBQ393187 NRU393187 NHY393187 MYC393187 MOG393187 MEK393187 LUO393187 LKS393187 LAW393187 KRA393187 KHE393187 JXI393187 JNM393187 JDQ393187 ITU393187 IJY393187 IAC393187 HQG393187 HGK393187 GWO393187 GMS393187 GCW393187 FTA393187 FJE393187 EZI393187 EPM393187 EFQ393187 DVU393187 DLY393187 DCC393187 CSG393187 CIK393187 BYO393187 BOS393187 BEW393187 AVA393187 ALE393187 ABI393187 RM393187 HQ393187 WUC327651 WKG327651 WAK327651 VQO327651 VGS327651 UWW327651 UNA327651 UDE327651 TTI327651 TJM327651 SZQ327651 SPU327651 SFY327651 RWC327651 RMG327651 RCK327651 QSO327651 QIS327651 PYW327651 PPA327651 PFE327651 OVI327651 OLM327651 OBQ327651 NRU327651 NHY327651 MYC327651 MOG327651 MEK327651 LUO327651 LKS327651 LAW327651 KRA327651 KHE327651 JXI327651 JNM327651 JDQ327651 ITU327651 IJY327651 IAC327651 HQG327651 HGK327651 GWO327651 GMS327651 GCW327651 FTA327651 FJE327651 EZI327651 EPM327651 EFQ327651 DVU327651 DLY327651 DCC327651 CSG327651 CIK327651 BYO327651 BOS327651 BEW327651 AVA327651 ALE327651 ABI327651 RM327651 HQ327651 WUC262115 WKG262115 WAK262115 VQO262115 VGS262115 UWW262115 UNA262115 UDE262115 TTI262115 TJM262115 SZQ262115 SPU262115 SFY262115 RWC262115 RMG262115 RCK262115 QSO262115 QIS262115 PYW262115 PPA262115 PFE262115 OVI262115 OLM262115 OBQ262115 NRU262115 NHY262115 MYC262115 MOG262115 MEK262115 LUO262115 LKS262115 LAW262115 KRA262115 KHE262115 JXI262115 JNM262115 JDQ262115 ITU262115 IJY262115 IAC262115 HQG262115 HGK262115 GWO262115 GMS262115 GCW262115 FTA262115 FJE262115 EZI262115 EPM262115 EFQ262115 DVU262115 DLY262115 DCC262115 CSG262115 CIK262115 BYO262115 BOS262115 BEW262115 AVA262115 ALE262115 ABI262115 RM262115 HQ262115 WUC196579 WKG196579 WAK196579 VQO196579 VGS196579 UWW196579 UNA196579 UDE196579 TTI196579 TJM196579 SZQ196579 SPU196579 SFY196579 RWC196579 RMG196579 RCK196579 QSO196579 QIS196579 PYW196579 PPA196579 PFE196579 OVI196579 OLM196579 OBQ196579 NRU196579 NHY196579 MYC196579 MOG196579 MEK196579 LUO196579 LKS196579 LAW196579 KRA196579 KHE196579 JXI196579 JNM196579 JDQ196579 ITU196579 IJY196579 IAC196579 HQG196579 HGK196579 GWO196579 GMS196579 GCW196579 FTA196579 FJE196579 EZI196579 EPM196579 EFQ196579 DVU196579 DLY196579 DCC196579 CSG196579 CIK196579 BYO196579 BOS196579 BEW196579 AVA196579 ALE196579 ABI196579 RM196579 HQ196579 WUC131043 WKG131043 WAK131043 VQO131043 VGS131043 UWW131043 UNA131043 UDE131043 TTI131043 TJM131043 SZQ131043 SPU131043 SFY131043 RWC131043 RMG131043 RCK131043 QSO131043 QIS131043 PYW131043 PPA131043 PFE131043 OVI131043 OLM131043 OBQ131043 NRU131043 NHY131043 MYC131043 MOG131043 MEK131043 LUO131043 LKS131043 LAW131043 KRA131043 KHE131043 JXI131043 JNM131043 JDQ131043 ITU131043 IJY131043 IAC131043 HQG131043 HGK131043 GWO131043 GMS131043 GCW131043 FTA131043 FJE131043 EZI131043 EPM131043 EFQ131043 DVU131043 DLY131043 DCC131043 CSG131043 CIK131043 BYO131043 BOS131043 BEW131043 AVA131043 ALE131043 ABI131043 RM131043 HQ131043 WUC65507 WKG65507 WAK65507 VQO65507 VGS65507 UWW65507 UNA65507 UDE65507 TTI65507 TJM65507 SZQ65507 SPU65507 SFY65507 RWC65507 RMG65507 RCK65507 QSO65507 QIS65507 PYW65507 PPA65507 PFE65507 OVI65507 OLM65507 OBQ65507 NRU65507 NHY65507 MYC65507 MOG65507 MEK65507 LUO65507 LKS65507 LAW65507 KRA65507 KHE65507 JXI65507 JNM65507 JDQ65507 ITU65507 IJY65507 IAC65507 HQG65507 HGK65507 GWO65507 GMS65507 GCW65507 FTA65507 FJE65507 EZI65507 EPM65507 EFQ65507 DVU65507 DLY65507 DCC65507 CSG65507 CIK65507 BYO65507 BOS65507 BEW65507 AVA65507 ALE65507 ABI65507 RM65507 HQ65507 WUC983193 WKG983193 WAK983193 VQO983193 VGS983193 UWW983193 UNA983193 UDE983193 TTI983193 TJM983193 SZQ983193 SPU983193 SFY983193 RWC983193 RMG983193 RCK983193 QSO983193 QIS983193 PYW983193 PPA983193 PFE983193 OVI983193 OLM983193 OBQ983193 NRU983193 NHY983193 MYC983193 MOG983193 MEK983193 LUO983193 LKS983193 LAW983193 KRA983193 KHE983193 JXI983193 JNM983193 JDQ983193 ITU983193 IJY983193 IAC983193 HQG983193 HGK983193 GWO983193 GMS983193 GCW983193 FTA983193 FJE983193 EZI983193 EPM983193 EFQ983193 DVU983193 DLY983193 DCC983193 CSG983193 CIK983193 BYO983193 BOS983193 BEW983193 AVA983193 ALE983193 ABI983193 RM983193 HQ983193 WUC917657 WKG917657 WAK917657 VQO917657 VGS917657 UWW917657 UNA917657 UDE917657 TTI917657 TJM917657 SZQ917657 SPU917657 SFY917657 RWC917657 RMG917657 RCK917657 QSO917657 QIS917657 PYW917657 PPA917657 PFE917657 OVI917657 OLM917657 OBQ917657 NRU917657 NHY917657 MYC917657 MOG917657 MEK917657 LUO917657 LKS917657 LAW917657 KRA917657 KHE917657 JXI917657 JNM917657 JDQ917657 ITU917657 IJY917657 IAC917657 HQG917657 HGK917657 GWO917657 GMS917657 GCW917657 FTA917657 FJE917657 EZI917657 EPM917657 EFQ917657 DVU917657 DLY917657 DCC917657 CSG917657 CIK917657 BYO917657 BOS917657 BEW917657 AVA917657 ALE917657 ABI917657 RM917657 HQ917657 WUC852121 WKG852121 WAK852121 VQO852121 VGS852121 UWW852121 UNA852121 UDE852121 TTI852121 TJM852121 SZQ852121 SPU852121 SFY852121 RWC852121 RMG852121 RCK852121 QSO852121 QIS852121 PYW852121 PPA852121 PFE852121 OVI852121 OLM852121 OBQ852121 NRU852121 NHY852121 MYC852121 MOG852121 MEK852121 LUO852121 LKS852121 LAW852121 KRA852121 KHE852121 JXI852121 JNM852121 JDQ852121 ITU852121 IJY852121 IAC852121 HQG852121 HGK852121 GWO852121 GMS852121 GCW852121 FTA852121 FJE852121 EZI852121 EPM852121 EFQ852121 DVU852121 DLY852121 DCC852121 CSG852121 CIK852121 BYO852121 BOS852121 BEW852121 AVA852121 ALE852121 ABI852121 RM852121 HQ852121 WUC786585 WKG786585 WAK786585 VQO786585 VGS786585 UWW786585 UNA786585 UDE786585 TTI786585 TJM786585 SZQ786585 SPU786585 SFY786585 RWC786585 RMG786585 RCK786585 QSO786585 QIS786585 PYW786585 PPA786585 PFE786585 OVI786585 OLM786585 OBQ786585 NRU786585 NHY786585 MYC786585 MOG786585 MEK786585 LUO786585 LKS786585 LAW786585 KRA786585 KHE786585 JXI786585 JNM786585 JDQ786585 ITU786585 IJY786585 IAC786585 HQG786585 HGK786585 GWO786585 GMS786585 GCW786585 FTA786585 FJE786585 EZI786585 EPM786585 EFQ786585 DVU786585 DLY786585 DCC786585 CSG786585 CIK786585 BYO786585 BOS786585 BEW786585 AVA786585 ALE786585 ABI786585 RM786585 HQ786585 WUC721049 WKG721049 WAK721049 VQO721049 VGS721049 UWW721049 UNA721049 UDE721049 TTI721049 TJM721049 SZQ721049 SPU721049 SFY721049 RWC721049 RMG721049 RCK721049 QSO721049 QIS721049 PYW721049 PPA721049 PFE721049 OVI721049 OLM721049 OBQ721049 NRU721049 NHY721049 MYC721049 MOG721049 MEK721049 LUO721049 LKS721049 LAW721049 KRA721049 KHE721049 JXI721049 JNM721049 JDQ721049 ITU721049 IJY721049 IAC721049 HQG721049 HGK721049 GWO721049 GMS721049 GCW721049 FTA721049 FJE721049 EZI721049 EPM721049 EFQ721049 DVU721049 DLY721049 DCC721049 CSG721049 CIK721049 BYO721049 BOS721049 BEW721049 AVA721049 ALE721049 ABI721049 RM721049 HQ721049 WUC655513 WKG655513 WAK655513 VQO655513 VGS655513 UWW655513 UNA655513 UDE655513 TTI655513 TJM655513 SZQ655513 SPU655513 SFY655513 RWC655513 RMG655513 RCK655513 QSO655513 QIS655513 PYW655513 PPA655513 PFE655513 OVI655513 OLM655513 OBQ655513 NRU655513 NHY655513 MYC655513 MOG655513 MEK655513 LUO655513 LKS655513 LAW655513 KRA655513 KHE655513 JXI655513 JNM655513 JDQ655513 ITU655513 IJY655513 IAC655513 HQG655513 HGK655513 GWO655513 GMS655513 GCW655513 FTA655513 FJE655513 EZI655513 EPM655513 EFQ655513 DVU655513 DLY655513 DCC655513 CSG655513 CIK655513 BYO655513 BOS655513 BEW655513 AVA655513 ALE655513 ABI655513 RM655513 HQ655513 WUC589977 WKG589977 WAK589977 VQO589977 VGS589977 UWW589977 UNA589977 UDE589977 TTI589977 TJM589977 SZQ589977 SPU589977 SFY589977 RWC589977 RMG589977 RCK589977 QSO589977 QIS589977 PYW589977 PPA589977 PFE589977 OVI589977 OLM589977 OBQ589977 NRU589977 NHY589977 MYC589977 MOG589977 MEK589977 LUO589977 LKS589977 LAW589977 KRA589977 KHE589977 JXI589977 JNM589977 JDQ589977 ITU589977 IJY589977 IAC589977 HQG589977 HGK589977 GWO589977 GMS589977 GCW589977 FTA589977 FJE589977 EZI589977 EPM589977 EFQ589977 DVU589977 DLY589977 DCC589977 CSG589977 CIK589977 BYO589977 BOS589977 BEW589977 AVA589977 ALE589977 ABI589977 RM589977 HQ589977 WUC524441 WKG524441 WAK524441 VQO524441 VGS524441 UWW524441 UNA524441 UDE524441 TTI524441 TJM524441 SZQ524441 SPU524441 SFY524441 RWC524441 RMG524441 RCK524441 QSO524441 QIS524441 PYW524441 PPA524441 PFE524441 OVI524441 OLM524441 OBQ524441 NRU524441 NHY524441 MYC524441 MOG524441 MEK524441 LUO524441 LKS524441 LAW524441 KRA524441 KHE524441 JXI524441 JNM524441 JDQ524441 ITU524441 IJY524441 IAC524441 HQG524441 HGK524441 GWO524441 GMS524441 GCW524441 FTA524441 FJE524441 EZI524441 EPM524441 EFQ524441 DVU524441 DLY524441 DCC524441 CSG524441 CIK524441 BYO524441 BOS524441 BEW524441 AVA524441 ALE524441 ABI524441 RM524441 HQ524441 WUC458905 WKG458905 WAK458905 VQO458905 VGS458905 UWW458905 UNA458905 UDE458905 TTI458905 TJM458905 SZQ458905 SPU458905 SFY458905 RWC458905 RMG458905 RCK458905 QSO458905 QIS458905 PYW458905 PPA458905 PFE458905 OVI458905 OLM458905 OBQ458905 NRU458905 NHY458905 MYC458905 MOG458905 MEK458905 LUO458905 LKS458905 LAW458905 KRA458905 KHE458905 JXI458905 JNM458905 JDQ458905 ITU458905 IJY458905 IAC458905 HQG458905 HGK458905 GWO458905 GMS458905 GCW458905 FTA458905 FJE458905 EZI458905 EPM458905 EFQ458905 DVU458905 DLY458905 DCC458905 CSG458905 CIK458905 BYO458905 BOS458905 BEW458905 AVA458905 ALE458905 ABI458905 RM458905 HQ458905 WUC393369 WKG393369 WAK393369 VQO393369 VGS393369 UWW393369 UNA393369 UDE393369 TTI393369 TJM393369 SZQ393369 SPU393369 SFY393369 RWC393369 RMG393369 RCK393369 QSO393369 QIS393369 PYW393369 PPA393369 PFE393369 OVI393369 OLM393369 OBQ393369 NRU393369 NHY393369 MYC393369 MOG393369 MEK393369 LUO393369 LKS393369 LAW393369 KRA393369 KHE393369 JXI393369 JNM393369 JDQ393369 ITU393369 IJY393369 IAC393369 HQG393369 HGK393369 GWO393369 GMS393369 GCW393369 FTA393369 FJE393369 EZI393369 EPM393369 EFQ393369 DVU393369 DLY393369 DCC393369 CSG393369 CIK393369 BYO393369 BOS393369 BEW393369 AVA393369 ALE393369 ABI393369 RM393369 HQ393369 WUC327833 WKG327833 WAK327833 VQO327833 VGS327833 UWW327833 UNA327833 UDE327833 TTI327833 TJM327833 SZQ327833 SPU327833 SFY327833 RWC327833 RMG327833 RCK327833 QSO327833 QIS327833 PYW327833 PPA327833 PFE327833 OVI327833 OLM327833 OBQ327833 NRU327833 NHY327833 MYC327833 MOG327833 MEK327833 LUO327833 LKS327833 LAW327833 KRA327833 KHE327833 JXI327833 JNM327833 JDQ327833 ITU327833 IJY327833 IAC327833 HQG327833 HGK327833 GWO327833 GMS327833 GCW327833 FTA327833 FJE327833 EZI327833 EPM327833 EFQ327833 DVU327833 DLY327833 DCC327833 CSG327833 CIK327833 BYO327833 BOS327833 BEW327833 AVA327833 ALE327833 ABI327833 RM327833 HQ327833 WUC262297 WKG262297 WAK262297 VQO262297 VGS262297 UWW262297 UNA262297 UDE262297 TTI262297 TJM262297 SZQ262297 SPU262297 SFY262297 RWC262297 RMG262297 RCK262297 QSO262297 QIS262297 PYW262297 PPA262297 PFE262297 OVI262297 OLM262297 OBQ262297 NRU262297 NHY262297 MYC262297 MOG262297 MEK262297 LUO262297 LKS262297 LAW262297 KRA262297 KHE262297 JXI262297 JNM262297 JDQ262297 ITU262297 IJY262297 IAC262297 HQG262297 HGK262297 GWO262297 GMS262297 GCW262297 FTA262297 FJE262297 EZI262297 EPM262297 EFQ262297 DVU262297 DLY262297 DCC262297 CSG262297 CIK262297 BYO262297 BOS262297 BEW262297 AVA262297 ALE262297 ABI262297 RM262297 HQ262297 WUC196761 WKG196761 WAK196761 VQO196761 VGS196761 UWW196761 UNA196761 UDE196761 TTI196761 TJM196761 SZQ196761 SPU196761 SFY196761 RWC196761 RMG196761 RCK196761 QSO196761 QIS196761 PYW196761 PPA196761 PFE196761 OVI196761 OLM196761 OBQ196761 NRU196761 NHY196761 MYC196761 MOG196761 MEK196761 LUO196761 LKS196761 LAW196761 KRA196761 KHE196761 JXI196761 JNM196761 JDQ196761 ITU196761 IJY196761 IAC196761 HQG196761 HGK196761 GWO196761 GMS196761 GCW196761 FTA196761 FJE196761 EZI196761 EPM196761 EFQ196761 DVU196761 DLY196761 DCC196761 CSG196761 CIK196761 BYO196761 BOS196761 BEW196761 AVA196761 ALE196761 ABI196761 RM196761 HQ196761 WUC131225 WKG131225 WAK131225 VQO131225 VGS131225 UWW131225 UNA131225 UDE131225 TTI131225 TJM131225 SZQ131225 SPU131225 SFY131225 RWC131225 RMG131225 RCK131225 QSO131225 QIS131225 PYW131225 PPA131225 PFE131225 OVI131225 OLM131225 OBQ131225 NRU131225 NHY131225 MYC131225 MOG131225 MEK131225 LUO131225 LKS131225 LAW131225 KRA131225 KHE131225 JXI131225 JNM131225 JDQ131225 ITU131225 IJY131225 IAC131225 HQG131225 HGK131225 GWO131225 GMS131225 GCW131225 FTA131225 FJE131225 EZI131225 EPM131225 EFQ131225 DVU131225 DLY131225 DCC131225 CSG131225 CIK131225 BYO131225 BOS131225 BEW131225 AVA131225 ALE131225 ABI131225 RM131225 HQ131225 WUC65689 WKG65689 WAK65689 VQO65689 VGS65689 UWW65689 UNA65689 UDE65689 TTI65689 TJM65689 SZQ65689 SPU65689 SFY65689 RWC65689 RMG65689 RCK65689 QSO65689 QIS65689 PYW65689 PPA65689 PFE65689 OVI65689 OLM65689 OBQ65689 NRU65689 NHY65689 MYC65689 MOG65689 MEK65689 LUO65689 LKS65689 LAW65689 KRA65689 KHE65689 JXI65689 JNM65689 JDQ65689 ITU65689 IJY65689 IAC65689 HQG65689 HGK65689 GWO65689 GMS65689 GCW65689 FTA65689 FJE65689 EZI65689 EPM65689 EFQ65689 DVU65689 DLY65689 DCC65689 CSG65689 CIK65689 BYO65689 BOS65689 BEW65689 AVA65689 ALE65689 ABI65689 RM65689 HQ65689 WUC983304 WKG983304 WAK983304 VQO983304 VGS983304 UWW983304 UNA983304 UDE983304 TTI983304 TJM983304 SZQ983304 SPU983304 SFY983304 RWC983304 RMG983304 RCK983304 QSO983304 QIS983304 PYW983304 PPA983304 PFE983304 OVI983304 OLM983304 OBQ983304 NRU983304 NHY983304 MYC983304 MOG983304 MEK983304 LUO983304 LKS983304 LAW983304 KRA983304 KHE983304 JXI983304 JNM983304 JDQ983304 ITU983304 IJY983304 IAC983304 HQG983304 HGK983304 GWO983304 GMS983304 GCW983304 FTA983304 FJE983304 EZI983304 EPM983304 EFQ983304 DVU983304 DLY983304 DCC983304 CSG983304 CIK983304 BYO983304 BOS983304 BEW983304 AVA983304 ALE983304 ABI983304 RM983304 HQ983304 WUC917768 WKG917768 WAK917768 VQO917768 VGS917768 UWW917768 UNA917768 UDE917768 TTI917768 TJM917768 SZQ917768 SPU917768 SFY917768 RWC917768 RMG917768 RCK917768 QSO917768 QIS917768 PYW917768 PPA917768 PFE917768 OVI917768 OLM917768 OBQ917768 NRU917768 NHY917768 MYC917768 MOG917768 MEK917768 LUO917768 LKS917768 LAW917768 KRA917768 KHE917768 JXI917768 JNM917768 JDQ917768 ITU917768 IJY917768 IAC917768 HQG917768 HGK917768 GWO917768 GMS917768 GCW917768 FTA917768 FJE917768 EZI917768 EPM917768 EFQ917768 DVU917768 DLY917768 DCC917768 CSG917768 CIK917768 BYO917768 BOS917768 BEW917768 AVA917768 ALE917768 ABI917768 RM917768 HQ917768 WUC852232 WKG852232 WAK852232 VQO852232 VGS852232 UWW852232 UNA852232 UDE852232 TTI852232 TJM852232 SZQ852232 SPU852232 SFY852232 RWC852232 RMG852232 RCK852232 QSO852232 QIS852232 PYW852232 PPA852232 PFE852232 OVI852232 OLM852232 OBQ852232 NRU852232 NHY852232 MYC852232 MOG852232 MEK852232 LUO852232 LKS852232 LAW852232 KRA852232 KHE852232 JXI852232 JNM852232 JDQ852232 ITU852232 IJY852232 IAC852232 HQG852232 HGK852232 GWO852232 GMS852232 GCW852232 FTA852232 FJE852232 EZI852232 EPM852232 EFQ852232 DVU852232 DLY852232 DCC852232 CSG852232 CIK852232 BYO852232 BOS852232 BEW852232 AVA852232 ALE852232 ABI852232 RM852232 HQ852232 WUC786696 WKG786696 WAK786696 VQO786696 VGS786696 UWW786696 UNA786696 UDE786696 TTI786696 TJM786696 SZQ786696 SPU786696 SFY786696 RWC786696 RMG786696 RCK786696 QSO786696 QIS786696 PYW786696 PPA786696 PFE786696 OVI786696 OLM786696 OBQ786696 NRU786696 NHY786696 MYC786696 MOG786696 MEK786696 LUO786696 LKS786696 LAW786696 KRA786696 KHE786696 JXI786696 JNM786696 JDQ786696 ITU786696 IJY786696 IAC786696 HQG786696 HGK786696 GWO786696 GMS786696 GCW786696 FTA786696 FJE786696 EZI786696 EPM786696 EFQ786696 DVU786696 DLY786696 DCC786696 CSG786696 CIK786696 BYO786696 BOS786696 BEW786696 AVA786696 ALE786696 ABI786696 RM786696 HQ786696 WUC721160 WKG721160 WAK721160 VQO721160 VGS721160 UWW721160 UNA721160 UDE721160 TTI721160 TJM721160 SZQ721160 SPU721160 SFY721160 RWC721160 RMG721160 RCK721160 QSO721160 QIS721160 PYW721160 PPA721160 PFE721160 OVI721160 OLM721160 OBQ721160 NRU721160 NHY721160 MYC721160 MOG721160 MEK721160 LUO721160 LKS721160 LAW721160 KRA721160 KHE721160 JXI721160 JNM721160 JDQ721160 ITU721160 IJY721160 IAC721160 HQG721160 HGK721160 GWO721160 GMS721160 GCW721160 FTA721160 FJE721160 EZI721160 EPM721160 EFQ721160 DVU721160 DLY721160 DCC721160 CSG721160 CIK721160 BYO721160 BOS721160 BEW721160 AVA721160 ALE721160 ABI721160 RM721160 HQ721160 WUC655624 WKG655624 WAK655624 VQO655624 VGS655624 UWW655624 UNA655624 UDE655624 TTI655624 TJM655624 SZQ655624 SPU655624 SFY655624 RWC655624 RMG655624 RCK655624 QSO655624 QIS655624 PYW655624 PPA655624 PFE655624 OVI655624 OLM655624 OBQ655624 NRU655624 NHY655624 MYC655624 MOG655624 MEK655624 LUO655624 LKS655624 LAW655624 KRA655624 KHE655624 JXI655624 JNM655624 JDQ655624 ITU655624 IJY655624 IAC655624 HQG655624 HGK655624 GWO655624 GMS655624 GCW655624 FTA655624 FJE655624 EZI655624 EPM655624 EFQ655624 DVU655624 DLY655624 DCC655624 CSG655624 CIK655624 BYO655624 BOS655624 BEW655624 AVA655624 ALE655624 ABI655624 RM655624 HQ655624 WUC590088 WKG590088 WAK590088 VQO590088 VGS590088 UWW590088 UNA590088 UDE590088 TTI590088 TJM590088 SZQ590088 SPU590088 SFY590088 RWC590088 RMG590088 RCK590088 QSO590088 QIS590088 PYW590088 PPA590088 PFE590088 OVI590088 OLM590088 OBQ590088 NRU590088 NHY590088 MYC590088 MOG590088 MEK590088 LUO590088 LKS590088 LAW590088 KRA590088 KHE590088 JXI590088 JNM590088 JDQ590088 ITU590088 IJY590088 IAC590088 HQG590088 HGK590088 GWO590088 GMS590088 GCW590088 FTA590088 FJE590088 EZI590088 EPM590088 EFQ590088 DVU590088 DLY590088 DCC590088 CSG590088 CIK590088 BYO590088 BOS590088 BEW590088 AVA590088 ALE590088 ABI590088 RM590088 HQ590088 WUC524552 WKG524552 WAK524552 VQO524552 VGS524552 UWW524552 UNA524552 UDE524552 TTI524552 TJM524552 SZQ524552 SPU524552 SFY524552 RWC524552 RMG524552 RCK524552 QSO524552 QIS524552 PYW524552 PPA524552 PFE524552 OVI524552 OLM524552 OBQ524552 NRU524552 NHY524552 MYC524552 MOG524552 MEK524552 LUO524552 LKS524552 LAW524552 KRA524552 KHE524552 JXI524552 JNM524552 JDQ524552 ITU524552 IJY524552 IAC524552 HQG524552 HGK524552 GWO524552 GMS524552 GCW524552 FTA524552 FJE524552 EZI524552 EPM524552 EFQ524552 DVU524552 DLY524552 DCC524552 CSG524552 CIK524552 BYO524552 BOS524552 BEW524552 AVA524552 ALE524552 ABI524552 RM524552 HQ524552 WUC459016 WKG459016 WAK459016 VQO459016 VGS459016 UWW459016 UNA459016 UDE459016 TTI459016 TJM459016 SZQ459016 SPU459016 SFY459016 RWC459016 RMG459016 RCK459016 QSO459016 QIS459016 PYW459016 PPA459016 PFE459016 OVI459016 OLM459016 OBQ459016 NRU459016 NHY459016 MYC459016 MOG459016 MEK459016 LUO459016 LKS459016 LAW459016 KRA459016 KHE459016 JXI459016 JNM459016 JDQ459016 ITU459016 IJY459016 IAC459016 HQG459016 HGK459016 GWO459016 GMS459016 GCW459016 FTA459016 FJE459016 EZI459016 EPM459016 EFQ459016 DVU459016 DLY459016 DCC459016 CSG459016 CIK459016 BYO459016 BOS459016 BEW459016 AVA459016 ALE459016 ABI459016 RM459016 HQ459016 WUC393480 WKG393480 WAK393480 VQO393480 VGS393480 UWW393480 UNA393480 UDE393480 TTI393480 TJM393480 SZQ393480 SPU393480 SFY393480 RWC393480 RMG393480 RCK393480 QSO393480 QIS393480 PYW393480 PPA393480 PFE393480 OVI393480 OLM393480 OBQ393480 NRU393480 NHY393480 MYC393480 MOG393480 MEK393480 LUO393480 LKS393480 LAW393480 KRA393480 KHE393480 JXI393480 JNM393480 JDQ393480 ITU393480 IJY393480 IAC393480 HQG393480 HGK393480 GWO393480 GMS393480 GCW393480 FTA393480 FJE393480 EZI393480 EPM393480 EFQ393480 DVU393480 DLY393480 DCC393480 CSG393480 CIK393480 BYO393480 BOS393480 BEW393480 AVA393480 ALE393480 ABI393480 RM393480 HQ393480 WUC327944 WKG327944 WAK327944 VQO327944 VGS327944 UWW327944 UNA327944 UDE327944 TTI327944 TJM327944 SZQ327944 SPU327944 SFY327944 RWC327944 RMG327944 RCK327944 QSO327944 QIS327944 PYW327944 PPA327944 PFE327944 OVI327944 OLM327944 OBQ327944 NRU327944 NHY327944 MYC327944 MOG327944 MEK327944 LUO327944 LKS327944 LAW327944 KRA327944 KHE327944 JXI327944 JNM327944 JDQ327944 ITU327944 IJY327944 IAC327944 HQG327944 HGK327944 GWO327944 GMS327944 GCW327944 FTA327944 FJE327944 EZI327944 EPM327944 EFQ327944 DVU327944 DLY327944 DCC327944 CSG327944 CIK327944 BYO327944 BOS327944 BEW327944 AVA327944 ALE327944 ABI327944 RM327944 HQ327944 WUC262408 WKG262408 WAK262408 VQO262408 VGS262408 UWW262408 UNA262408 UDE262408 TTI262408 TJM262408 SZQ262408 SPU262408 SFY262408 RWC262408 RMG262408 RCK262408 QSO262408 QIS262408 PYW262408 PPA262408 PFE262408 OVI262408 OLM262408 OBQ262408 NRU262408 NHY262408 MYC262408 MOG262408 MEK262408 LUO262408 LKS262408 LAW262408 KRA262408 KHE262408 JXI262408 JNM262408 JDQ262408 ITU262408 IJY262408 IAC262408 HQG262408 HGK262408 GWO262408 GMS262408 GCW262408 FTA262408 FJE262408 EZI262408 EPM262408 EFQ262408 DVU262408 DLY262408 DCC262408 CSG262408 CIK262408 BYO262408 BOS262408 BEW262408 AVA262408 ALE262408 ABI262408 RM262408 HQ262408 WUC196872 WKG196872 WAK196872 VQO196872 VGS196872 UWW196872 UNA196872 UDE196872 TTI196872 TJM196872 SZQ196872 SPU196872 SFY196872 RWC196872 RMG196872 RCK196872 QSO196872 QIS196872 PYW196872 PPA196872 PFE196872 OVI196872 OLM196872 OBQ196872 NRU196872 NHY196872 MYC196872 MOG196872 MEK196872 LUO196872 LKS196872 LAW196872 KRA196872 KHE196872 JXI196872 JNM196872 JDQ196872 ITU196872 IJY196872 IAC196872 HQG196872 HGK196872 GWO196872 GMS196872 GCW196872 FTA196872 FJE196872 EZI196872 EPM196872 EFQ196872 DVU196872 DLY196872 DCC196872 CSG196872 CIK196872 BYO196872 BOS196872 BEW196872 AVA196872 ALE196872 ABI196872 RM196872 HQ196872 WUC131336 WKG131336 WAK131336 VQO131336 VGS131336 UWW131336 UNA131336 UDE131336 TTI131336 TJM131336 SZQ131336 SPU131336 SFY131336 RWC131336 RMG131336 RCK131336 QSO131336 QIS131336 PYW131336 PPA131336 PFE131336 OVI131336 OLM131336 OBQ131336 NRU131336 NHY131336 MYC131336 MOG131336 MEK131336 LUO131336 LKS131336 LAW131336 KRA131336 KHE131336 JXI131336 JNM131336 JDQ131336 ITU131336 IJY131336 IAC131336 HQG131336 HGK131336 GWO131336 GMS131336 GCW131336 FTA131336 FJE131336 EZI131336 EPM131336 EFQ131336 DVU131336 DLY131336 DCC131336 CSG131336 CIK131336 BYO131336 BOS131336 BEW131336 AVA131336 ALE131336 ABI131336 RM131336 HQ131336 WUC65800 WKG65800 WAK65800 VQO65800 VGS65800 UWW65800 UNA65800 UDE65800 TTI65800 TJM65800 SZQ65800 SPU65800 SFY65800 RWC65800 RMG65800 RCK65800 QSO65800 QIS65800 PYW65800 PPA65800 PFE65800 OVI65800 OLM65800 OBQ65800 NRU65800 NHY65800 MYC65800 MOG65800 MEK65800 LUO65800 LKS65800 LAW65800 KRA65800 KHE65800 JXI65800 JNM65800 JDQ65800 ITU65800 IJY65800 IAC65800 HQG65800 HGK65800 GWO65800 GMS65800 GCW65800 FTA65800 FJE65800 EZI65800 EPM65800 EFQ65800 DVU65800 DLY65800 DCC65800 CSG65800 CIK65800 BYO65800 BOS65800 BEW65800 AVA65800 ALE65800 ABI65800 RM65800 HQ65800 WUC983381:WUC983391 WKG983381:WKG983391 WAK983381:WAK983391 VQO983381:VQO983391 VGS983381:VGS983391 UWW983381:UWW983391 UNA983381:UNA983391 UDE983381:UDE983391 TTI983381:TTI983391 TJM983381:TJM983391 SZQ983381:SZQ983391 SPU983381:SPU983391 SFY983381:SFY983391 RWC983381:RWC983391 RMG983381:RMG983391 RCK983381:RCK983391 QSO983381:QSO983391 QIS983381:QIS983391 PYW983381:PYW983391 PPA983381:PPA983391 PFE983381:PFE983391 OVI983381:OVI983391 OLM983381:OLM983391 OBQ983381:OBQ983391 NRU983381:NRU983391 NHY983381:NHY983391 MYC983381:MYC983391 MOG983381:MOG983391 MEK983381:MEK983391 LUO983381:LUO983391 LKS983381:LKS983391 LAW983381:LAW983391 KRA983381:KRA983391 KHE983381:KHE983391 JXI983381:JXI983391 JNM983381:JNM983391 JDQ983381:JDQ983391 ITU983381:ITU983391 IJY983381:IJY983391 IAC983381:IAC983391 HQG983381:HQG983391 HGK983381:HGK983391 GWO983381:GWO983391 GMS983381:GMS983391 GCW983381:GCW983391 FTA983381:FTA983391 FJE983381:FJE983391 EZI983381:EZI983391 EPM983381:EPM983391 EFQ983381:EFQ983391 DVU983381:DVU983391 DLY983381:DLY983391 DCC983381:DCC983391 CSG983381:CSG983391 CIK983381:CIK983391 BYO983381:BYO983391 BOS983381:BOS983391 BEW983381:BEW983391 AVA983381:AVA983391 ALE983381:ALE983391 ABI983381:ABI983391 RM983381:RM983391 HQ983381:HQ983391 WUC917845:WUC917855 WKG917845:WKG917855 WAK917845:WAK917855 VQO917845:VQO917855 VGS917845:VGS917855 UWW917845:UWW917855 UNA917845:UNA917855 UDE917845:UDE917855 TTI917845:TTI917855 TJM917845:TJM917855 SZQ917845:SZQ917855 SPU917845:SPU917855 SFY917845:SFY917855 RWC917845:RWC917855 RMG917845:RMG917855 RCK917845:RCK917855 QSO917845:QSO917855 QIS917845:QIS917855 PYW917845:PYW917855 PPA917845:PPA917855 PFE917845:PFE917855 OVI917845:OVI917855 OLM917845:OLM917855 OBQ917845:OBQ917855 NRU917845:NRU917855 NHY917845:NHY917855 MYC917845:MYC917855 MOG917845:MOG917855 MEK917845:MEK917855 LUO917845:LUO917855 LKS917845:LKS917855 LAW917845:LAW917855 KRA917845:KRA917855 KHE917845:KHE917855 JXI917845:JXI917855 JNM917845:JNM917855 JDQ917845:JDQ917855 ITU917845:ITU917855 IJY917845:IJY917855 IAC917845:IAC917855 HQG917845:HQG917855 HGK917845:HGK917855 GWO917845:GWO917855 GMS917845:GMS917855 GCW917845:GCW917855 FTA917845:FTA917855 FJE917845:FJE917855 EZI917845:EZI917855 EPM917845:EPM917855 EFQ917845:EFQ917855 DVU917845:DVU917855 DLY917845:DLY917855 DCC917845:DCC917855 CSG917845:CSG917855 CIK917845:CIK917855 BYO917845:BYO917855 BOS917845:BOS917855 BEW917845:BEW917855 AVA917845:AVA917855 ALE917845:ALE917855 ABI917845:ABI917855 RM917845:RM917855 HQ917845:HQ917855 WUC852309:WUC852319 WKG852309:WKG852319 WAK852309:WAK852319 VQO852309:VQO852319 VGS852309:VGS852319 UWW852309:UWW852319 UNA852309:UNA852319 UDE852309:UDE852319 TTI852309:TTI852319 TJM852309:TJM852319 SZQ852309:SZQ852319 SPU852309:SPU852319 SFY852309:SFY852319 RWC852309:RWC852319 RMG852309:RMG852319 RCK852309:RCK852319 QSO852309:QSO852319 QIS852309:QIS852319 PYW852309:PYW852319 PPA852309:PPA852319 PFE852309:PFE852319 OVI852309:OVI852319 OLM852309:OLM852319 OBQ852309:OBQ852319 NRU852309:NRU852319 NHY852309:NHY852319 MYC852309:MYC852319 MOG852309:MOG852319 MEK852309:MEK852319 LUO852309:LUO852319 LKS852309:LKS852319 LAW852309:LAW852319 KRA852309:KRA852319 KHE852309:KHE852319 JXI852309:JXI852319 JNM852309:JNM852319 JDQ852309:JDQ852319 ITU852309:ITU852319 IJY852309:IJY852319 IAC852309:IAC852319 HQG852309:HQG852319 HGK852309:HGK852319 GWO852309:GWO852319 GMS852309:GMS852319 GCW852309:GCW852319 FTA852309:FTA852319 FJE852309:FJE852319 EZI852309:EZI852319 EPM852309:EPM852319 EFQ852309:EFQ852319 DVU852309:DVU852319 DLY852309:DLY852319 DCC852309:DCC852319 CSG852309:CSG852319 CIK852309:CIK852319 BYO852309:BYO852319 BOS852309:BOS852319 BEW852309:BEW852319 AVA852309:AVA852319 ALE852309:ALE852319 ABI852309:ABI852319 RM852309:RM852319 HQ852309:HQ852319 WUC786773:WUC786783 WKG786773:WKG786783 WAK786773:WAK786783 VQO786773:VQO786783 VGS786773:VGS786783 UWW786773:UWW786783 UNA786773:UNA786783 UDE786773:UDE786783 TTI786773:TTI786783 TJM786773:TJM786783 SZQ786773:SZQ786783 SPU786773:SPU786783 SFY786773:SFY786783 RWC786773:RWC786783 RMG786773:RMG786783 RCK786773:RCK786783 QSO786773:QSO786783 QIS786773:QIS786783 PYW786773:PYW786783 PPA786773:PPA786783 PFE786773:PFE786783 OVI786773:OVI786783 OLM786773:OLM786783 OBQ786773:OBQ786783 NRU786773:NRU786783 NHY786773:NHY786783 MYC786773:MYC786783 MOG786773:MOG786783 MEK786773:MEK786783 LUO786773:LUO786783 LKS786773:LKS786783 LAW786773:LAW786783 KRA786773:KRA786783 KHE786773:KHE786783 JXI786773:JXI786783 JNM786773:JNM786783 JDQ786773:JDQ786783 ITU786773:ITU786783 IJY786773:IJY786783 IAC786773:IAC786783 HQG786773:HQG786783 HGK786773:HGK786783 GWO786773:GWO786783 GMS786773:GMS786783 GCW786773:GCW786783 FTA786773:FTA786783 FJE786773:FJE786783 EZI786773:EZI786783 EPM786773:EPM786783 EFQ786773:EFQ786783 DVU786773:DVU786783 DLY786773:DLY786783 DCC786773:DCC786783 CSG786773:CSG786783 CIK786773:CIK786783 BYO786773:BYO786783 BOS786773:BOS786783 BEW786773:BEW786783 AVA786773:AVA786783 ALE786773:ALE786783 ABI786773:ABI786783 RM786773:RM786783 HQ786773:HQ786783 WUC721237:WUC721247 WKG721237:WKG721247 WAK721237:WAK721247 VQO721237:VQO721247 VGS721237:VGS721247 UWW721237:UWW721247 UNA721237:UNA721247 UDE721237:UDE721247 TTI721237:TTI721247 TJM721237:TJM721247 SZQ721237:SZQ721247 SPU721237:SPU721247 SFY721237:SFY721247 RWC721237:RWC721247 RMG721237:RMG721247 RCK721237:RCK721247 QSO721237:QSO721247 QIS721237:QIS721247 PYW721237:PYW721247 PPA721237:PPA721247 PFE721237:PFE721247 OVI721237:OVI721247 OLM721237:OLM721247 OBQ721237:OBQ721247 NRU721237:NRU721247 NHY721237:NHY721247 MYC721237:MYC721247 MOG721237:MOG721247 MEK721237:MEK721247 LUO721237:LUO721247 LKS721237:LKS721247 LAW721237:LAW721247 KRA721237:KRA721247 KHE721237:KHE721247 JXI721237:JXI721247 JNM721237:JNM721247 JDQ721237:JDQ721247 ITU721237:ITU721247 IJY721237:IJY721247 IAC721237:IAC721247 HQG721237:HQG721247 HGK721237:HGK721247 GWO721237:GWO721247 GMS721237:GMS721247 GCW721237:GCW721247 FTA721237:FTA721247 FJE721237:FJE721247 EZI721237:EZI721247 EPM721237:EPM721247 EFQ721237:EFQ721247 DVU721237:DVU721247 DLY721237:DLY721247 DCC721237:DCC721247 CSG721237:CSG721247 CIK721237:CIK721247 BYO721237:BYO721247 BOS721237:BOS721247 BEW721237:BEW721247 AVA721237:AVA721247 ALE721237:ALE721247 ABI721237:ABI721247 RM721237:RM721247 HQ721237:HQ721247 WUC655701:WUC655711 WKG655701:WKG655711 WAK655701:WAK655711 VQO655701:VQO655711 VGS655701:VGS655711 UWW655701:UWW655711 UNA655701:UNA655711 UDE655701:UDE655711 TTI655701:TTI655711 TJM655701:TJM655711 SZQ655701:SZQ655711 SPU655701:SPU655711 SFY655701:SFY655711 RWC655701:RWC655711 RMG655701:RMG655711 RCK655701:RCK655711 QSO655701:QSO655711 QIS655701:QIS655711 PYW655701:PYW655711 PPA655701:PPA655711 PFE655701:PFE655711 OVI655701:OVI655711 OLM655701:OLM655711 OBQ655701:OBQ655711 NRU655701:NRU655711 NHY655701:NHY655711 MYC655701:MYC655711 MOG655701:MOG655711 MEK655701:MEK655711 LUO655701:LUO655711 LKS655701:LKS655711 LAW655701:LAW655711 KRA655701:KRA655711 KHE655701:KHE655711 JXI655701:JXI655711 JNM655701:JNM655711 JDQ655701:JDQ655711 ITU655701:ITU655711 IJY655701:IJY655711 IAC655701:IAC655711 HQG655701:HQG655711 HGK655701:HGK655711 GWO655701:GWO655711 GMS655701:GMS655711 GCW655701:GCW655711 FTA655701:FTA655711 FJE655701:FJE655711 EZI655701:EZI655711 EPM655701:EPM655711 EFQ655701:EFQ655711 DVU655701:DVU655711 DLY655701:DLY655711 DCC655701:DCC655711 CSG655701:CSG655711 CIK655701:CIK655711 BYO655701:BYO655711 BOS655701:BOS655711 BEW655701:BEW655711 AVA655701:AVA655711 ALE655701:ALE655711 ABI655701:ABI655711 RM655701:RM655711 HQ655701:HQ655711 WUC590165:WUC590175 WKG590165:WKG590175 WAK590165:WAK590175 VQO590165:VQO590175 VGS590165:VGS590175 UWW590165:UWW590175 UNA590165:UNA590175 UDE590165:UDE590175 TTI590165:TTI590175 TJM590165:TJM590175 SZQ590165:SZQ590175 SPU590165:SPU590175 SFY590165:SFY590175 RWC590165:RWC590175 RMG590165:RMG590175 RCK590165:RCK590175 QSO590165:QSO590175 QIS590165:QIS590175 PYW590165:PYW590175 PPA590165:PPA590175 PFE590165:PFE590175 OVI590165:OVI590175 OLM590165:OLM590175 OBQ590165:OBQ590175 NRU590165:NRU590175 NHY590165:NHY590175 MYC590165:MYC590175 MOG590165:MOG590175 MEK590165:MEK590175 LUO590165:LUO590175 LKS590165:LKS590175 LAW590165:LAW590175 KRA590165:KRA590175 KHE590165:KHE590175 JXI590165:JXI590175 JNM590165:JNM590175 JDQ590165:JDQ590175 ITU590165:ITU590175 IJY590165:IJY590175 IAC590165:IAC590175 HQG590165:HQG590175 HGK590165:HGK590175 GWO590165:GWO590175 GMS590165:GMS590175 GCW590165:GCW590175 FTA590165:FTA590175 FJE590165:FJE590175 EZI590165:EZI590175 EPM590165:EPM590175 EFQ590165:EFQ590175 DVU590165:DVU590175 DLY590165:DLY590175 DCC590165:DCC590175 CSG590165:CSG590175 CIK590165:CIK590175 BYO590165:BYO590175 BOS590165:BOS590175 BEW590165:BEW590175 AVA590165:AVA590175 ALE590165:ALE590175 ABI590165:ABI590175 RM590165:RM590175 HQ590165:HQ590175 WUC524629:WUC524639 WKG524629:WKG524639 WAK524629:WAK524639 VQO524629:VQO524639 VGS524629:VGS524639 UWW524629:UWW524639 UNA524629:UNA524639 UDE524629:UDE524639 TTI524629:TTI524639 TJM524629:TJM524639 SZQ524629:SZQ524639 SPU524629:SPU524639 SFY524629:SFY524639 RWC524629:RWC524639 RMG524629:RMG524639 RCK524629:RCK524639 QSO524629:QSO524639 QIS524629:QIS524639 PYW524629:PYW524639 PPA524629:PPA524639 PFE524629:PFE524639 OVI524629:OVI524639 OLM524629:OLM524639 OBQ524629:OBQ524639 NRU524629:NRU524639 NHY524629:NHY524639 MYC524629:MYC524639 MOG524629:MOG524639 MEK524629:MEK524639 LUO524629:LUO524639 LKS524629:LKS524639 LAW524629:LAW524639 KRA524629:KRA524639 KHE524629:KHE524639 JXI524629:JXI524639 JNM524629:JNM524639 JDQ524629:JDQ524639 ITU524629:ITU524639 IJY524629:IJY524639 IAC524629:IAC524639 HQG524629:HQG524639 HGK524629:HGK524639 GWO524629:GWO524639 GMS524629:GMS524639 GCW524629:GCW524639 FTA524629:FTA524639 FJE524629:FJE524639 EZI524629:EZI524639 EPM524629:EPM524639 EFQ524629:EFQ524639 DVU524629:DVU524639 DLY524629:DLY524639 DCC524629:DCC524639 CSG524629:CSG524639 CIK524629:CIK524639 BYO524629:BYO524639 BOS524629:BOS524639 BEW524629:BEW524639 AVA524629:AVA524639 ALE524629:ALE524639 ABI524629:ABI524639 RM524629:RM524639 HQ524629:HQ524639 WUC459093:WUC459103 WKG459093:WKG459103 WAK459093:WAK459103 VQO459093:VQO459103 VGS459093:VGS459103 UWW459093:UWW459103 UNA459093:UNA459103 UDE459093:UDE459103 TTI459093:TTI459103 TJM459093:TJM459103 SZQ459093:SZQ459103 SPU459093:SPU459103 SFY459093:SFY459103 RWC459093:RWC459103 RMG459093:RMG459103 RCK459093:RCK459103 QSO459093:QSO459103 QIS459093:QIS459103 PYW459093:PYW459103 PPA459093:PPA459103 PFE459093:PFE459103 OVI459093:OVI459103 OLM459093:OLM459103 OBQ459093:OBQ459103 NRU459093:NRU459103 NHY459093:NHY459103 MYC459093:MYC459103 MOG459093:MOG459103 MEK459093:MEK459103 LUO459093:LUO459103 LKS459093:LKS459103 LAW459093:LAW459103 KRA459093:KRA459103 KHE459093:KHE459103 JXI459093:JXI459103 JNM459093:JNM459103 JDQ459093:JDQ459103 ITU459093:ITU459103 IJY459093:IJY459103 IAC459093:IAC459103 HQG459093:HQG459103 HGK459093:HGK459103 GWO459093:GWO459103 GMS459093:GMS459103 GCW459093:GCW459103 FTA459093:FTA459103 FJE459093:FJE459103 EZI459093:EZI459103 EPM459093:EPM459103 EFQ459093:EFQ459103 DVU459093:DVU459103 DLY459093:DLY459103 DCC459093:DCC459103 CSG459093:CSG459103 CIK459093:CIK459103 BYO459093:BYO459103 BOS459093:BOS459103 BEW459093:BEW459103 AVA459093:AVA459103 ALE459093:ALE459103 ABI459093:ABI459103 RM459093:RM459103 HQ459093:HQ459103 WUC393557:WUC393567 WKG393557:WKG393567 WAK393557:WAK393567 VQO393557:VQO393567 VGS393557:VGS393567 UWW393557:UWW393567 UNA393557:UNA393567 UDE393557:UDE393567 TTI393557:TTI393567 TJM393557:TJM393567 SZQ393557:SZQ393567 SPU393557:SPU393567 SFY393557:SFY393567 RWC393557:RWC393567 RMG393557:RMG393567 RCK393557:RCK393567 QSO393557:QSO393567 QIS393557:QIS393567 PYW393557:PYW393567 PPA393557:PPA393567 PFE393557:PFE393567 OVI393557:OVI393567 OLM393557:OLM393567 OBQ393557:OBQ393567 NRU393557:NRU393567 NHY393557:NHY393567 MYC393557:MYC393567 MOG393557:MOG393567 MEK393557:MEK393567 LUO393557:LUO393567 LKS393557:LKS393567 LAW393557:LAW393567 KRA393557:KRA393567 KHE393557:KHE393567 JXI393557:JXI393567 JNM393557:JNM393567 JDQ393557:JDQ393567 ITU393557:ITU393567 IJY393557:IJY393567 IAC393557:IAC393567 HQG393557:HQG393567 HGK393557:HGK393567 GWO393557:GWO393567 GMS393557:GMS393567 GCW393557:GCW393567 FTA393557:FTA393567 FJE393557:FJE393567 EZI393557:EZI393567 EPM393557:EPM393567 EFQ393557:EFQ393567 DVU393557:DVU393567 DLY393557:DLY393567 DCC393557:DCC393567 CSG393557:CSG393567 CIK393557:CIK393567 BYO393557:BYO393567 BOS393557:BOS393567 BEW393557:BEW393567 AVA393557:AVA393567 ALE393557:ALE393567 ABI393557:ABI393567 RM393557:RM393567 HQ393557:HQ393567 WUC328021:WUC328031 WKG328021:WKG328031 WAK328021:WAK328031 VQO328021:VQO328031 VGS328021:VGS328031 UWW328021:UWW328031 UNA328021:UNA328031 UDE328021:UDE328031 TTI328021:TTI328031 TJM328021:TJM328031 SZQ328021:SZQ328031 SPU328021:SPU328031 SFY328021:SFY328031 RWC328021:RWC328031 RMG328021:RMG328031 RCK328021:RCK328031 QSO328021:QSO328031 QIS328021:QIS328031 PYW328021:PYW328031 PPA328021:PPA328031 PFE328021:PFE328031 OVI328021:OVI328031 OLM328021:OLM328031 OBQ328021:OBQ328031 NRU328021:NRU328031 NHY328021:NHY328031 MYC328021:MYC328031 MOG328021:MOG328031 MEK328021:MEK328031 LUO328021:LUO328031 LKS328021:LKS328031 LAW328021:LAW328031 KRA328021:KRA328031 KHE328021:KHE328031 JXI328021:JXI328031 JNM328021:JNM328031 JDQ328021:JDQ328031 ITU328021:ITU328031 IJY328021:IJY328031 IAC328021:IAC328031 HQG328021:HQG328031 HGK328021:HGK328031 GWO328021:GWO328031 GMS328021:GMS328031 GCW328021:GCW328031 FTA328021:FTA328031 FJE328021:FJE328031 EZI328021:EZI328031 EPM328021:EPM328031 EFQ328021:EFQ328031 DVU328021:DVU328031 DLY328021:DLY328031 DCC328021:DCC328031 CSG328021:CSG328031 CIK328021:CIK328031 BYO328021:BYO328031 BOS328021:BOS328031 BEW328021:BEW328031 AVA328021:AVA328031 ALE328021:ALE328031 ABI328021:ABI328031 RM328021:RM328031 HQ328021:HQ328031 WUC262485:WUC262495 WKG262485:WKG262495 WAK262485:WAK262495 VQO262485:VQO262495 VGS262485:VGS262495 UWW262485:UWW262495 UNA262485:UNA262495 UDE262485:UDE262495 TTI262485:TTI262495 TJM262485:TJM262495 SZQ262485:SZQ262495 SPU262485:SPU262495 SFY262485:SFY262495 RWC262485:RWC262495 RMG262485:RMG262495 RCK262485:RCK262495 QSO262485:QSO262495 QIS262485:QIS262495 PYW262485:PYW262495 PPA262485:PPA262495 PFE262485:PFE262495 OVI262485:OVI262495 OLM262485:OLM262495 OBQ262485:OBQ262495 NRU262485:NRU262495 NHY262485:NHY262495 MYC262485:MYC262495 MOG262485:MOG262495 MEK262485:MEK262495 LUO262485:LUO262495 LKS262485:LKS262495 LAW262485:LAW262495 KRA262485:KRA262495 KHE262485:KHE262495 JXI262485:JXI262495 JNM262485:JNM262495 JDQ262485:JDQ262495 ITU262485:ITU262495 IJY262485:IJY262495 IAC262485:IAC262495 HQG262485:HQG262495 HGK262485:HGK262495 GWO262485:GWO262495 GMS262485:GMS262495 GCW262485:GCW262495 FTA262485:FTA262495 FJE262485:FJE262495 EZI262485:EZI262495 EPM262485:EPM262495 EFQ262485:EFQ262495 DVU262485:DVU262495 DLY262485:DLY262495 DCC262485:DCC262495 CSG262485:CSG262495 CIK262485:CIK262495 BYO262485:BYO262495 BOS262485:BOS262495 BEW262485:BEW262495 AVA262485:AVA262495 ALE262485:ALE262495 ABI262485:ABI262495 RM262485:RM262495 HQ262485:HQ262495 WUC196949:WUC196959 WKG196949:WKG196959 WAK196949:WAK196959 VQO196949:VQO196959 VGS196949:VGS196959 UWW196949:UWW196959 UNA196949:UNA196959 UDE196949:UDE196959 TTI196949:TTI196959 TJM196949:TJM196959 SZQ196949:SZQ196959 SPU196949:SPU196959 SFY196949:SFY196959 RWC196949:RWC196959 RMG196949:RMG196959 RCK196949:RCK196959 QSO196949:QSO196959 QIS196949:QIS196959 PYW196949:PYW196959 PPA196949:PPA196959 PFE196949:PFE196959 OVI196949:OVI196959 OLM196949:OLM196959 OBQ196949:OBQ196959 NRU196949:NRU196959 NHY196949:NHY196959 MYC196949:MYC196959 MOG196949:MOG196959 MEK196949:MEK196959 LUO196949:LUO196959 LKS196949:LKS196959 LAW196949:LAW196959 KRA196949:KRA196959 KHE196949:KHE196959 JXI196949:JXI196959 JNM196949:JNM196959 JDQ196949:JDQ196959 ITU196949:ITU196959 IJY196949:IJY196959 IAC196949:IAC196959 HQG196949:HQG196959 HGK196949:HGK196959 GWO196949:GWO196959 GMS196949:GMS196959 GCW196949:GCW196959 FTA196949:FTA196959 FJE196949:FJE196959 EZI196949:EZI196959 EPM196949:EPM196959 EFQ196949:EFQ196959 DVU196949:DVU196959 DLY196949:DLY196959 DCC196949:DCC196959 CSG196949:CSG196959 CIK196949:CIK196959 BYO196949:BYO196959 BOS196949:BOS196959 BEW196949:BEW196959 AVA196949:AVA196959 ALE196949:ALE196959 ABI196949:ABI196959 RM196949:RM196959 HQ196949:HQ196959 WUC131413:WUC131423 WKG131413:WKG131423 WAK131413:WAK131423 VQO131413:VQO131423 VGS131413:VGS131423 UWW131413:UWW131423 UNA131413:UNA131423 UDE131413:UDE131423 TTI131413:TTI131423 TJM131413:TJM131423 SZQ131413:SZQ131423 SPU131413:SPU131423 SFY131413:SFY131423 RWC131413:RWC131423 RMG131413:RMG131423 RCK131413:RCK131423 QSO131413:QSO131423 QIS131413:QIS131423 PYW131413:PYW131423 PPA131413:PPA131423 PFE131413:PFE131423 OVI131413:OVI131423 OLM131413:OLM131423 OBQ131413:OBQ131423 NRU131413:NRU131423 NHY131413:NHY131423 MYC131413:MYC131423 MOG131413:MOG131423 MEK131413:MEK131423 LUO131413:LUO131423 LKS131413:LKS131423 LAW131413:LAW131423 KRA131413:KRA131423 KHE131413:KHE131423 JXI131413:JXI131423 JNM131413:JNM131423 JDQ131413:JDQ131423 ITU131413:ITU131423 IJY131413:IJY131423 IAC131413:IAC131423 HQG131413:HQG131423 HGK131413:HGK131423 GWO131413:GWO131423 GMS131413:GMS131423 GCW131413:GCW131423 FTA131413:FTA131423 FJE131413:FJE131423 EZI131413:EZI131423 EPM131413:EPM131423 EFQ131413:EFQ131423 DVU131413:DVU131423 DLY131413:DLY131423 DCC131413:DCC131423 CSG131413:CSG131423 CIK131413:CIK131423 BYO131413:BYO131423 BOS131413:BOS131423 BEW131413:BEW131423 AVA131413:AVA131423 ALE131413:ALE131423 ABI131413:ABI131423 RM131413:RM131423 HQ131413:HQ131423 WUC65877:WUC65887 WKG65877:WKG65887 WAK65877:WAK65887 VQO65877:VQO65887 VGS65877:VGS65887 UWW65877:UWW65887 UNA65877:UNA65887 UDE65877:UDE65887 TTI65877:TTI65887 TJM65877:TJM65887 SZQ65877:SZQ65887 SPU65877:SPU65887 SFY65877:SFY65887 RWC65877:RWC65887 RMG65877:RMG65887 RCK65877:RCK65887 QSO65877:QSO65887 QIS65877:QIS65887 PYW65877:PYW65887 PPA65877:PPA65887 PFE65877:PFE65887 OVI65877:OVI65887 OLM65877:OLM65887 OBQ65877:OBQ65887 NRU65877:NRU65887 NHY65877:NHY65887 MYC65877:MYC65887 MOG65877:MOG65887 MEK65877:MEK65887 LUO65877:LUO65887 LKS65877:LKS65887 LAW65877:LAW65887 KRA65877:KRA65887 KHE65877:KHE65887 JXI65877:JXI65887 JNM65877:JNM65887 JDQ65877:JDQ65887 ITU65877:ITU65887 IJY65877:IJY65887 IAC65877:IAC65887 HQG65877:HQG65887 HGK65877:HGK65887 GWO65877:GWO65887 GMS65877:GMS65887 GCW65877:GCW65887 FTA65877:FTA65887 FJE65877:FJE65887 EZI65877:EZI65887 EPM65877:EPM65887 EFQ65877:EFQ65887 DVU65877:DVU65887 DLY65877:DLY65887 DCC65877:DCC65887 CSG65877:CSG65887 CIK65877:CIK65887 BYO65877:BYO65887 BOS65877:BOS65887 BEW65877:BEW65887 AVA65877:AVA65887 ALE65877:ALE65887 ABI65877:ABI65887 RM65877:RM65887 HQ65877:HQ65887 WUC983821 WKG983821 WAK983821 VQO983821 VGS983821 UWW983821 UNA983821 UDE983821 TTI983821 TJM983821 SZQ983821 SPU983821 SFY983821 RWC983821 RMG983821 RCK983821 QSO983821 QIS983821 PYW983821 PPA983821 PFE983821 OVI983821 OLM983821 OBQ983821 NRU983821 NHY983821 MYC983821 MOG983821 MEK983821 LUO983821 LKS983821 LAW983821 KRA983821 KHE983821 JXI983821 JNM983821 JDQ983821 ITU983821 IJY983821 IAC983821 HQG983821 HGK983821 GWO983821 GMS983821 GCW983821 FTA983821 FJE983821 EZI983821 EPM983821 EFQ983821 DVU983821 DLY983821 DCC983821 CSG983821 CIK983821 BYO983821 BOS983821 BEW983821 AVA983821 ALE983821 ABI983821 RM983821 HQ983821 WUC918285 WKG918285 WAK918285 VQO918285 VGS918285 UWW918285 UNA918285 UDE918285 TTI918285 TJM918285 SZQ918285 SPU918285 SFY918285 RWC918285 RMG918285 RCK918285 QSO918285 QIS918285 PYW918285 PPA918285 PFE918285 OVI918285 OLM918285 OBQ918285 NRU918285 NHY918285 MYC918285 MOG918285 MEK918285 LUO918285 LKS918285 LAW918285 KRA918285 KHE918285 JXI918285 JNM918285 JDQ918285 ITU918285 IJY918285 IAC918285 HQG918285 HGK918285 GWO918285 GMS918285 GCW918285 FTA918285 FJE918285 EZI918285 EPM918285 EFQ918285 DVU918285 DLY918285 DCC918285 CSG918285 CIK918285 BYO918285 BOS918285 BEW918285 AVA918285 ALE918285 ABI918285 RM918285 HQ918285 WUC852749 WKG852749 WAK852749 VQO852749 VGS852749 UWW852749 UNA852749 UDE852749 TTI852749 TJM852749 SZQ852749 SPU852749 SFY852749 RWC852749 RMG852749 RCK852749 QSO852749 QIS852749 PYW852749 PPA852749 PFE852749 OVI852749 OLM852749 OBQ852749 NRU852749 NHY852749 MYC852749 MOG852749 MEK852749 LUO852749 LKS852749 LAW852749 KRA852749 KHE852749 JXI852749 JNM852749 JDQ852749 ITU852749 IJY852749 IAC852749 HQG852749 HGK852749 GWO852749 GMS852749 GCW852749 FTA852749 FJE852749 EZI852749 EPM852749 EFQ852749 DVU852749 DLY852749 DCC852749 CSG852749 CIK852749 BYO852749 BOS852749 BEW852749 AVA852749 ALE852749 ABI852749 RM852749 HQ852749 WUC787213 WKG787213 WAK787213 VQO787213 VGS787213 UWW787213 UNA787213 UDE787213 TTI787213 TJM787213 SZQ787213 SPU787213 SFY787213 RWC787213 RMG787213 RCK787213 QSO787213 QIS787213 PYW787213 PPA787213 PFE787213 OVI787213 OLM787213 OBQ787213 NRU787213 NHY787213 MYC787213 MOG787213 MEK787213 LUO787213 LKS787213 LAW787213 KRA787213 KHE787213 JXI787213 JNM787213 JDQ787213 ITU787213 IJY787213 IAC787213 HQG787213 HGK787213 GWO787213 GMS787213 GCW787213 FTA787213 FJE787213 EZI787213 EPM787213 EFQ787213 DVU787213 DLY787213 DCC787213 CSG787213 CIK787213 BYO787213 BOS787213 BEW787213 AVA787213 ALE787213 ABI787213 RM787213 HQ787213 WUC721677 WKG721677 WAK721677 VQO721677 VGS721677 UWW721677 UNA721677 UDE721677 TTI721677 TJM721677 SZQ721677 SPU721677 SFY721677 RWC721677 RMG721677 RCK721677 QSO721677 QIS721677 PYW721677 PPA721677 PFE721677 OVI721677 OLM721677 OBQ721677 NRU721677 NHY721677 MYC721677 MOG721677 MEK721677 LUO721677 LKS721677 LAW721677 KRA721677 KHE721677 JXI721677 JNM721677 JDQ721677 ITU721677 IJY721677 IAC721677 HQG721677 HGK721677 GWO721677 GMS721677 GCW721677 FTA721677 FJE721677 EZI721677 EPM721677 EFQ721677 DVU721677 DLY721677 DCC721677 CSG721677 CIK721677 BYO721677 BOS721677 BEW721677 AVA721677 ALE721677 ABI721677 RM721677 HQ721677 WUC656141 WKG656141 WAK656141 VQO656141 VGS656141 UWW656141 UNA656141 UDE656141 TTI656141 TJM656141 SZQ656141 SPU656141 SFY656141 RWC656141 RMG656141 RCK656141 QSO656141 QIS656141 PYW656141 PPA656141 PFE656141 OVI656141 OLM656141 OBQ656141 NRU656141 NHY656141 MYC656141 MOG656141 MEK656141 LUO656141 LKS656141 LAW656141 KRA656141 KHE656141 JXI656141 JNM656141 JDQ656141 ITU656141 IJY656141 IAC656141 HQG656141 HGK656141 GWO656141 GMS656141 GCW656141 FTA656141 FJE656141 EZI656141 EPM656141 EFQ656141 DVU656141 DLY656141 DCC656141 CSG656141 CIK656141 BYO656141 BOS656141 BEW656141 AVA656141 ALE656141 ABI656141 RM656141 HQ656141 WUC590605 WKG590605 WAK590605 VQO590605 VGS590605 UWW590605 UNA590605 UDE590605 TTI590605 TJM590605 SZQ590605 SPU590605 SFY590605 RWC590605 RMG590605 RCK590605 QSO590605 QIS590605 PYW590605 PPA590605 PFE590605 OVI590605 OLM590605 OBQ590605 NRU590605 NHY590605 MYC590605 MOG590605 MEK590605 LUO590605 LKS590605 LAW590605 KRA590605 KHE590605 JXI590605 JNM590605 JDQ590605 ITU590605 IJY590605 IAC590605 HQG590605 HGK590605 GWO590605 GMS590605 GCW590605 FTA590605 FJE590605 EZI590605 EPM590605 EFQ590605 DVU590605 DLY590605 DCC590605 CSG590605 CIK590605 BYO590605 BOS590605 BEW590605 AVA590605 ALE590605 ABI590605 RM590605 HQ590605 WUC525069 WKG525069 WAK525069 VQO525069 VGS525069 UWW525069 UNA525069 UDE525069 TTI525069 TJM525069 SZQ525069 SPU525069 SFY525069 RWC525069 RMG525069 RCK525069 QSO525069 QIS525069 PYW525069 PPA525069 PFE525069 OVI525069 OLM525069 OBQ525069 NRU525069 NHY525069 MYC525069 MOG525069 MEK525069 LUO525069 LKS525069 LAW525069 KRA525069 KHE525069 JXI525069 JNM525069 JDQ525069 ITU525069 IJY525069 IAC525069 HQG525069 HGK525069 GWO525069 GMS525069 GCW525069 FTA525069 FJE525069 EZI525069 EPM525069 EFQ525069 DVU525069 DLY525069 DCC525069 CSG525069 CIK525069 BYO525069 BOS525069 BEW525069 AVA525069 ALE525069 ABI525069 RM525069 HQ525069 WUC459533 WKG459533 WAK459533 VQO459533 VGS459533 UWW459533 UNA459533 UDE459533 TTI459533 TJM459533 SZQ459533 SPU459533 SFY459533 RWC459533 RMG459533 RCK459533 QSO459533 QIS459533 PYW459533 PPA459533 PFE459533 OVI459533 OLM459533 OBQ459533 NRU459533 NHY459533 MYC459533 MOG459533 MEK459533 LUO459533 LKS459533 LAW459533 KRA459533 KHE459533 JXI459533 JNM459533 JDQ459533 ITU459533 IJY459533 IAC459533 HQG459533 HGK459533 GWO459533 GMS459533 GCW459533 FTA459533 FJE459533 EZI459533 EPM459533 EFQ459533 DVU459533 DLY459533 DCC459533 CSG459533 CIK459533 BYO459533 BOS459533 BEW459533 AVA459533 ALE459533 ABI459533 RM459533 HQ459533 WUC393997 WKG393997 WAK393997 VQO393997 VGS393997 UWW393997 UNA393997 UDE393997 TTI393997 TJM393997 SZQ393997 SPU393997 SFY393997 RWC393997 RMG393997 RCK393997 QSO393997 QIS393997 PYW393997 PPA393997 PFE393997 OVI393997 OLM393997 OBQ393997 NRU393997 NHY393997 MYC393997 MOG393997 MEK393997 LUO393997 LKS393997 LAW393997 KRA393997 KHE393997 JXI393997 JNM393997 JDQ393997 ITU393997 IJY393997 IAC393997 HQG393997 HGK393997 GWO393997 GMS393997 GCW393997 FTA393997 FJE393997 EZI393997 EPM393997 EFQ393997 DVU393997 DLY393997 DCC393997 CSG393997 CIK393997 BYO393997 BOS393997 BEW393997 AVA393997 ALE393997 ABI393997 RM393997 HQ393997 WUC328461 WKG328461 WAK328461 VQO328461 VGS328461 UWW328461 UNA328461 UDE328461 TTI328461 TJM328461 SZQ328461 SPU328461 SFY328461 RWC328461 RMG328461 RCK328461 QSO328461 QIS328461 PYW328461 PPA328461 PFE328461 OVI328461 OLM328461 OBQ328461 NRU328461 NHY328461 MYC328461 MOG328461 MEK328461 LUO328461 LKS328461 LAW328461 KRA328461 KHE328461 JXI328461 JNM328461 JDQ328461 ITU328461 IJY328461 IAC328461 HQG328461 HGK328461 GWO328461 GMS328461 GCW328461 FTA328461 FJE328461 EZI328461 EPM328461 EFQ328461 DVU328461 DLY328461 DCC328461 CSG328461 CIK328461 BYO328461 BOS328461 BEW328461 AVA328461 ALE328461 ABI328461 RM328461 HQ328461 WUC262925 WKG262925 WAK262925 VQO262925 VGS262925 UWW262925 UNA262925 UDE262925 TTI262925 TJM262925 SZQ262925 SPU262925 SFY262925 RWC262925 RMG262925 RCK262925 QSO262925 QIS262925 PYW262925 PPA262925 PFE262925 OVI262925 OLM262925 OBQ262925 NRU262925 NHY262925 MYC262925 MOG262925 MEK262925 LUO262925 LKS262925 LAW262925 KRA262925 KHE262925 JXI262925 JNM262925 JDQ262925 ITU262925 IJY262925 IAC262925 HQG262925 HGK262925 GWO262925 GMS262925 GCW262925 FTA262925 FJE262925 EZI262925 EPM262925 EFQ262925 DVU262925 DLY262925 DCC262925 CSG262925 CIK262925 BYO262925 BOS262925 BEW262925 AVA262925 ALE262925 ABI262925 RM262925 HQ262925 WUC197389 WKG197389 WAK197389 VQO197389 VGS197389 UWW197389 UNA197389 UDE197389 TTI197389 TJM197389 SZQ197389 SPU197389 SFY197389 RWC197389 RMG197389 RCK197389 QSO197389 QIS197389 PYW197389 PPA197389 PFE197389 OVI197389 OLM197389 OBQ197389 NRU197389 NHY197389 MYC197389 MOG197389 MEK197389 LUO197389 LKS197389 LAW197389 KRA197389 KHE197389 JXI197389 JNM197389 JDQ197389 ITU197389 IJY197389 IAC197389 HQG197389 HGK197389 GWO197389 GMS197389 GCW197389 FTA197389 FJE197389 EZI197389 EPM197389 EFQ197389 DVU197389 DLY197389 DCC197389 CSG197389 CIK197389 BYO197389 BOS197389 BEW197389 AVA197389 ALE197389 ABI197389 RM197389 HQ197389 WUC131853 WKG131853 WAK131853 VQO131853 VGS131853 UWW131853 UNA131853 UDE131853 TTI131853 TJM131853 SZQ131853 SPU131853 SFY131853 RWC131853 RMG131853 RCK131853 QSO131853 QIS131853 PYW131853 PPA131853 PFE131853 OVI131853 OLM131853 OBQ131853 NRU131853 NHY131853 MYC131853 MOG131853 MEK131853 LUO131853 LKS131853 LAW131853 KRA131853 KHE131853 JXI131853 JNM131853 JDQ131853 ITU131853 IJY131853 IAC131853 HQG131853 HGK131853 GWO131853 GMS131853 GCW131853 FTA131853 FJE131853 EZI131853 EPM131853 EFQ131853 DVU131853 DLY131853 DCC131853 CSG131853 CIK131853 BYO131853 BOS131853 BEW131853 AVA131853 ALE131853 ABI131853 RM131853 HQ131853 WUC66317 WKG66317 WAK66317 VQO66317 VGS66317 UWW66317 UNA66317 UDE66317 TTI66317 TJM66317 SZQ66317 SPU66317 SFY66317 RWC66317 RMG66317 RCK66317 QSO66317 QIS66317 PYW66317 PPA66317 PFE66317 OVI66317 OLM66317 OBQ66317 NRU66317 NHY66317 MYC66317 MOG66317 MEK66317 LUO66317 LKS66317 LAW66317 KRA66317 KHE66317 JXI66317 JNM66317 JDQ66317 ITU66317 IJY66317 IAC66317 HQG66317 HGK66317 GWO66317 GMS66317 GCW66317 FTA66317 FJE66317 EZI66317 EPM66317 EFQ66317 DVU66317 DLY66317 DCC66317 CSG66317 CIK66317 BYO66317 BOS66317 BEW66317 AVA66317 ALE66317 ABI66317 RM66317 HQ785 RM785 ABI785 ALE785 AVA785 BEW785 BOS785 BYO785 CIK785 CSG785 DCC785 DLY785 DVU785 EFQ785 EPM785 EZI785 FJE785 FTA785 GCW785 GMS785 GWO785 HGK785 HQG785 IAC785 IJY785 ITU785 JDQ785 JNM785 JXI785 KHE785 KRA785 LAW785 LKS785 LUO785 MEK785 MOG785 MYC785 NHY785 NRU785 OBQ785 OLM785 OVI785 PFE785 PPA785 PYW785 QIS785 QSO785 RCK785 RMG785 RWC785 SFY785 SPU785 SZQ785 TJM785 TTI785 UDE785 UNA785 UWW785 VGS785 VQO785 WAK785 WKG785 WUC785 RM422 ABI422 ALE422 AVA422 BEW422 BOS422 BYO422 CIK422 CSG422 DCC422 DLY422 DVU422 EFQ422 EPM422 EZI422 FJE422 FTA422 GCW422 GMS422 GWO422 HGK422 HQG422 IAC422 IJY422 ITU422 JDQ422 JNM422 JXI422 KHE422 KRA422 LAW422 LKS422 LUO422 MEK422 MOG422 MYC422 NHY422 NRU422 OBQ422 OLM422 OVI422 PFE422 PPA422 PYW422 QIS422 QSO422 RCK422 RMG422 RWC422 SFY422 SPU422 SZQ422 TJM422 TTI422 UDE422 UNA422 UWW422 VGS422 VQO422 WAK422 WKG422 WUC422 HQ422 WUC275 WKG275 WAK275 VQO275 VGS275 UWW275 UNA275 UDE275 TTI275 TJM275 SZQ275 SPU275 SFY275 RWC275 RMG275 RCK275 QSO275 QIS275 PYW275 PPA275 PFE275 OVI275 OLM275 OBQ275 NRU275 NHY275 MYC275 MOG275 MEK275 LUO275 LKS275 LAW275 KRA275 KHE275 JXI275 JNM275 JDQ275 ITU275 IJY275 IAC275 HQG275 HGK275 GWO275 GMS275 GCW275 FTA275 FJE275 EZI275 EPM275 EFQ275 DVU275 DLY275 DCC275 CSG275 CIK275 BYO275 BOS275 BEW275 AVA275 ALE275 ABI275 RM275 HQ275 WUC190:WUC192 WKG190:WKG192 WAK190:WAK192 VQO190:VQO192 VGS190:VGS192 UWW190:UWW192 UNA190:UNA192 UDE190:UDE192 TTI190:TTI192 TJM190:TJM192 SZQ190:SZQ192 SPU190:SPU192 SFY190:SFY192 RWC190:RWC192 RMG190:RMG192 RCK190:RCK192 QSO190:QSO192 QIS190:QIS192 PYW190:PYW192 PPA190:PPA192 PFE190:PFE192 OVI190:OVI192 OLM190:OLM192 OBQ190:OBQ192 NRU190:NRU192 NHY190:NHY192 MYC190:MYC192 MOG190:MOG192 MEK190:MEK192 LUO190:LUO192 LKS190:LKS192 LAW190:LAW192 KRA190:KRA192 KHE190:KHE192 JXI190:JXI192 JNM190:JNM192 JDQ190:JDQ192 ITU190:ITU192 IJY190:IJY192 IAC190:IAC192 HQG190:HQG192 HGK190:HGK192 GWO190:GWO192 GMS190:GMS192 GCW190:GCW192 FTA190:FTA192 FJE190:FJE192 EZI190:EZI192 EPM190:EPM192 EFQ190:EFQ192 DVU190:DVU192 DLY190:DLY192 DCC190:DCC192 CSG190:CSG192 CIK190:CIK192 BYO190:BYO192 BOS190:BOS192 BEW190:BEW192 AVA190:AVA192 ALE190:ALE192 ABI190:ABI192 RM190:RM192 HQ190:HQ192 WUC169 WKG169 WAK169 VQO169 VGS169 UWW169 UNA169 UDE169 TTI169 TJM169 SZQ169 SPU169 SFY169 RWC169 RMG169 RCK169 QSO169 QIS169 PYW169 PPA169 PFE169 OVI169 OLM169 OBQ169 NRU169 NHY169 MYC169 MOG169 MEK169 LUO169 LKS169 LAW169 KRA169 KHE169 JXI169 JNM169 JDQ169 ITU169 IJY169 IAC169 HQG169 HGK169 GWO169 GMS169 GCW169 FTA169 FJE169 EZI169 EPM169 EFQ169 DVU169 DLY169 DCC169 CSG169 CIK169 BYO169 BOS169 BEW169 AVA169 ALE169 ABI169 RM169 HQ169 C169 WUC260 C275 C422 C785 C66317 C983800:C983806 C918264:C918270 C852728:C852734 C787192:C787198 C721656:C721662 C656120:C656126 C590584:C590590 C525048:C525054 C459512:C459518 C393976:C393982 C328440:C328446 C262904:C262910 C197368:C197374 C131832:C131838 C66296:C66302 C983763 C918227 C852691 C787155 C721619 C656083 C590547 C525011 C459475 C393939 C328403 C262867 C197331 C131795 C66259 C982813:C982818 C917277:C917282 C851741:C851746 C786205:C786210 C720669:C720674 C655133:C655138 C589597:C589602 C524061:C524066 C458525:C458530 C392989:C392994 C327453:C327458 C261917:C261922 C196381:C196386 C130845:C130850 C65309:C65314 C982764 C917228 C851692 C786156 C720620 C655084 C589548 C524012 C458476 C392940 C327404 C261868 C196332 C130796 C65260 C982902:C982903 C917366:C917367 C851830:C851831 C786294:C786295 C720758:C720759 C655222:C655223 C589686:C589687 C524150:C524151 C458614:C458615 C393078:C393079 C327542:C327543 C262006:C262007 C196470:C196471 C130934:C130935 C65398:C65399 C982923:C982924 C917387:C917388 C851851:C851852 C786315:C786316 C720779:C720780 C655243:C655244 C589707:C589708 C524171:C524172 C458635:C458636 C393099:C393100 C327563:C327564 C262027:C262028 C196491:C196492 C130955:C130956 C65419:C65420 C982933:C982934 C917397:C917398 C851861:C851862 C786325:C786326 C720789:C720790 C655253:C655254 C589717:C589718 C524181:C524182 C458645:C458646 C393109:C393110 C327573:C327574 C262037:C262038 C196501:C196502 C130965:C130966 C65429:C65430 C982957 C917421 C851885 C786349 C720813 C655277 C589741 C524205 C458669 C393133 C327597 C262061 C196525 C130989 C65453 C983011 C917475 C851939 C786403 C720867 C655331 C589795 C524259 C458723 C393187 C327651 C262115 C196579 C131043 C65507 C983193 C917657 C852121 C786585 C721049 C655513 C589977 C524441 C458905 C393369 C327833 C262297 C196761 C131225 C65689 C983304 C917768 C852232 C786696 C721160 C655624 C590088 C524552 C459016 C393480 C327944 C262408 C196872 C131336 C65800 C983381:C983391 C917845:C917855 C852309:C852319 C786773:C786783 C721237:C721247 C655701:C655711 C590165:C590175 C524629:C524639 C459093:C459103 C393557:C393567 C328021:C328031 C262485:C262495 C196949:C196959 C131413:C131423 C65877:C65887 C983821 C918285 C852749 C787213 C721677 C656141 C590605 C525069 C459533 C393997 C328461 C262925 C197389 C131853 C814:C816 WUC809:WUC816 WKG809:WKG816 WAK809:WAK816 VQO809:VQO816 VGS809:VGS816 UWW809:UWW816 UNA809:UNA816 UDE809:UDE816 TTI809:TTI816 TJM809:TJM816 SZQ809:SZQ816 SPU809:SPU816 SFY809:SFY816 RWC809:RWC816 RMG809:RMG816 RCK809:RCK816 QSO809:QSO816 QIS809:QIS816 PYW809:PYW816 PPA809:PPA816 PFE809:PFE816 OVI809:OVI816 OLM809:OLM816 OBQ809:OBQ816 NRU809:NRU816 NHY809:NHY816 MYC809:MYC816 MOG809:MOG816 MEK809:MEK816 LUO809:LUO816 LKS809:LKS816 LAW809:LAW816 KRA809:KRA816 KHE809:KHE816 JXI809:JXI816 JNM809:JNM816 JDQ809:JDQ816 ITU809:ITU816 IJY809:IJY816 IAC809:IAC816 HQG809:HQG816 HGK809:HGK816 GWO809:GWO816 GMS809:GMS816 GCW809:GCW816 FTA809:FTA816 FJE809:FJE816 EZI809:EZI816 EPM809:EPM816 EFQ809:EFQ816 DVU809:DVU816 DLY809:DLY816 DCC809:DCC816 CSG809:CSG816 CIK809:CIK816 BYO809:BYO816 BOS809:BOS816 BEW809:BEW816 AVA809:AVA816 ALE809:ALE816 ABI809:ABI816 RM809:RM816 HQ809:HQ816 C809:C812 WUC532:WUC536 WKG532:WKG536 WAK532:WAK536 VQO532:VQO536 VGS532:VGS536 UWW532:UWW536 UNA532:UNA536 UDE532:UDE536 TTI532:TTI536 TJM532:TJM536 SZQ532:SZQ536 SPU532:SPU536 SFY532:SFY536 RWC532:RWC536 RMG532:RMG536 RCK532:RCK536 QSO532:QSO536 QIS532:QIS536 PYW532:PYW536 PPA532:PPA536 PFE532:PFE536 OVI532:OVI536 OLM532:OLM536 OBQ532:OBQ536 NRU532:NRU536 NHY532:NHY536 MYC532:MYC536 MOG532:MOG536 MEK532:MEK536 LUO532:LUO536 LKS532:LKS536 LAW532:LAW536 KRA532:KRA536 KHE532:KHE536 JXI532:JXI536 JNM532:JNM536 JDQ532:JDQ536 ITU532:ITU536 IJY532:IJY536 IAC532:IAC536 HQG532:HQG536 HGK532:HGK536 GWO532:GWO536 GMS532:GMS536 GCW532:GCW536 FTA532:FTA536 FJE532:FJE536 EZI532:EZI536 EPM532:EPM536 EFQ532:EFQ536 DVU532:DVU536 DLY532:DLY536 DCC532:DCC536 CSG532:CSG536 CIK532:CIK536 BYO532:BYO536 BOS532:BOS536 BEW532:BEW536 AVA532:AVA536 ALE532:ALE536 ABI532:ABI536 RM532:RM536 HQ532:HQ536 C532:C536 C260 HQ260 RM260 ABI260 ALE260 AVA260 BEW260 BOS260 BYO260 CIK260 CSG260 DCC260 DLY260 DVU260 EFQ260 EPM260 EZI260 FJE260 FTA260 GCW260 GMS260 GWO260 HGK260 HQG260 IAC260 IJY260 ITU260 JDQ260 JNM260 JXI260 KHE260 KRA260 LAW260 LKS260 LUO260 MEK260 MOG260 MYC260 NHY260 NRU260 OBQ260 OLM260 OVI260 PFE260 PPA260 PYW260 QIS260 QSO260 RCK260 RMG260 RWC260 SFY260 SPU260 SZQ260 TJM260 TTI260 UDE260 UNA260 UWW260 VGS260 VQO260 WAK260 WKG260 C190:C192</xm:sqref>
        </x14:dataValidation>
        <x14:dataValidation type="textLength" allowBlank="1" showInputMessage="1" showErrorMessage="1" errorTitle="Ошибка ввода ИНН" error="Длина ИНН должна составлять 10 или 12 сиволов">
          <x14:formula1>
            <xm:f>10</xm:f>
          </x14:formula1>
          <x14:formula2>
            <xm:f>12</xm:f>
          </x14:formula2>
          <xm:sqref>HR66317 WUD983800:WUD983806 WKH983800:WKH983806 WAL983800:WAL983806 VQP983800:VQP983806 VGT983800:VGT983806 UWX983800:UWX983806 UNB983800:UNB983806 UDF983800:UDF983806 TTJ983800:TTJ983806 TJN983800:TJN983806 SZR983800:SZR983806 SPV983800:SPV983806 SFZ983800:SFZ983806 RWD983800:RWD983806 RMH983800:RMH983806 RCL983800:RCL983806 QSP983800:QSP983806 QIT983800:QIT983806 PYX983800:PYX983806 PPB983800:PPB983806 PFF983800:PFF983806 OVJ983800:OVJ983806 OLN983800:OLN983806 OBR983800:OBR983806 NRV983800:NRV983806 NHZ983800:NHZ983806 MYD983800:MYD983806 MOH983800:MOH983806 MEL983800:MEL983806 LUP983800:LUP983806 LKT983800:LKT983806 LAX983800:LAX983806 KRB983800:KRB983806 KHF983800:KHF983806 JXJ983800:JXJ983806 JNN983800:JNN983806 JDR983800:JDR983806 ITV983800:ITV983806 IJZ983800:IJZ983806 IAD983800:IAD983806 HQH983800:HQH983806 HGL983800:HGL983806 GWP983800:GWP983806 GMT983800:GMT983806 GCX983800:GCX983806 FTB983800:FTB983806 FJF983800:FJF983806 EZJ983800:EZJ983806 EPN983800:EPN983806 EFR983800:EFR983806 DVV983800:DVV983806 DLZ983800:DLZ983806 DCD983800:DCD983806 CSH983800:CSH983806 CIL983800:CIL983806 BYP983800:BYP983806 BOT983800:BOT983806 BEX983800:BEX983806 AVB983800:AVB983806 ALF983800:ALF983806 ABJ983800:ABJ983806 RN983800:RN983806 HR983800:HR983806 WUD918264:WUD918270 WKH918264:WKH918270 WAL918264:WAL918270 VQP918264:VQP918270 VGT918264:VGT918270 UWX918264:UWX918270 UNB918264:UNB918270 UDF918264:UDF918270 TTJ918264:TTJ918270 TJN918264:TJN918270 SZR918264:SZR918270 SPV918264:SPV918270 SFZ918264:SFZ918270 RWD918264:RWD918270 RMH918264:RMH918270 RCL918264:RCL918270 QSP918264:QSP918270 QIT918264:QIT918270 PYX918264:PYX918270 PPB918264:PPB918270 PFF918264:PFF918270 OVJ918264:OVJ918270 OLN918264:OLN918270 OBR918264:OBR918270 NRV918264:NRV918270 NHZ918264:NHZ918270 MYD918264:MYD918270 MOH918264:MOH918270 MEL918264:MEL918270 LUP918264:LUP918270 LKT918264:LKT918270 LAX918264:LAX918270 KRB918264:KRB918270 KHF918264:KHF918270 JXJ918264:JXJ918270 JNN918264:JNN918270 JDR918264:JDR918270 ITV918264:ITV918270 IJZ918264:IJZ918270 IAD918264:IAD918270 HQH918264:HQH918270 HGL918264:HGL918270 GWP918264:GWP918270 GMT918264:GMT918270 GCX918264:GCX918270 FTB918264:FTB918270 FJF918264:FJF918270 EZJ918264:EZJ918270 EPN918264:EPN918270 EFR918264:EFR918270 DVV918264:DVV918270 DLZ918264:DLZ918270 DCD918264:DCD918270 CSH918264:CSH918270 CIL918264:CIL918270 BYP918264:BYP918270 BOT918264:BOT918270 BEX918264:BEX918270 AVB918264:AVB918270 ALF918264:ALF918270 ABJ918264:ABJ918270 RN918264:RN918270 HR918264:HR918270 WUD852728:WUD852734 WKH852728:WKH852734 WAL852728:WAL852734 VQP852728:VQP852734 VGT852728:VGT852734 UWX852728:UWX852734 UNB852728:UNB852734 UDF852728:UDF852734 TTJ852728:TTJ852734 TJN852728:TJN852734 SZR852728:SZR852734 SPV852728:SPV852734 SFZ852728:SFZ852734 RWD852728:RWD852734 RMH852728:RMH852734 RCL852728:RCL852734 QSP852728:QSP852734 QIT852728:QIT852734 PYX852728:PYX852734 PPB852728:PPB852734 PFF852728:PFF852734 OVJ852728:OVJ852734 OLN852728:OLN852734 OBR852728:OBR852734 NRV852728:NRV852734 NHZ852728:NHZ852734 MYD852728:MYD852734 MOH852728:MOH852734 MEL852728:MEL852734 LUP852728:LUP852734 LKT852728:LKT852734 LAX852728:LAX852734 KRB852728:KRB852734 KHF852728:KHF852734 JXJ852728:JXJ852734 JNN852728:JNN852734 JDR852728:JDR852734 ITV852728:ITV852734 IJZ852728:IJZ852734 IAD852728:IAD852734 HQH852728:HQH852734 HGL852728:HGL852734 GWP852728:GWP852734 GMT852728:GMT852734 GCX852728:GCX852734 FTB852728:FTB852734 FJF852728:FJF852734 EZJ852728:EZJ852734 EPN852728:EPN852734 EFR852728:EFR852734 DVV852728:DVV852734 DLZ852728:DLZ852734 DCD852728:DCD852734 CSH852728:CSH852734 CIL852728:CIL852734 BYP852728:BYP852734 BOT852728:BOT852734 BEX852728:BEX852734 AVB852728:AVB852734 ALF852728:ALF852734 ABJ852728:ABJ852734 RN852728:RN852734 HR852728:HR852734 WUD787192:WUD787198 WKH787192:WKH787198 WAL787192:WAL787198 VQP787192:VQP787198 VGT787192:VGT787198 UWX787192:UWX787198 UNB787192:UNB787198 UDF787192:UDF787198 TTJ787192:TTJ787198 TJN787192:TJN787198 SZR787192:SZR787198 SPV787192:SPV787198 SFZ787192:SFZ787198 RWD787192:RWD787198 RMH787192:RMH787198 RCL787192:RCL787198 QSP787192:QSP787198 QIT787192:QIT787198 PYX787192:PYX787198 PPB787192:PPB787198 PFF787192:PFF787198 OVJ787192:OVJ787198 OLN787192:OLN787198 OBR787192:OBR787198 NRV787192:NRV787198 NHZ787192:NHZ787198 MYD787192:MYD787198 MOH787192:MOH787198 MEL787192:MEL787198 LUP787192:LUP787198 LKT787192:LKT787198 LAX787192:LAX787198 KRB787192:KRB787198 KHF787192:KHF787198 JXJ787192:JXJ787198 JNN787192:JNN787198 JDR787192:JDR787198 ITV787192:ITV787198 IJZ787192:IJZ787198 IAD787192:IAD787198 HQH787192:HQH787198 HGL787192:HGL787198 GWP787192:GWP787198 GMT787192:GMT787198 GCX787192:GCX787198 FTB787192:FTB787198 FJF787192:FJF787198 EZJ787192:EZJ787198 EPN787192:EPN787198 EFR787192:EFR787198 DVV787192:DVV787198 DLZ787192:DLZ787198 DCD787192:DCD787198 CSH787192:CSH787198 CIL787192:CIL787198 BYP787192:BYP787198 BOT787192:BOT787198 BEX787192:BEX787198 AVB787192:AVB787198 ALF787192:ALF787198 ABJ787192:ABJ787198 RN787192:RN787198 HR787192:HR787198 WUD721656:WUD721662 WKH721656:WKH721662 WAL721656:WAL721662 VQP721656:VQP721662 VGT721656:VGT721662 UWX721656:UWX721662 UNB721656:UNB721662 UDF721656:UDF721662 TTJ721656:TTJ721662 TJN721656:TJN721662 SZR721656:SZR721662 SPV721656:SPV721662 SFZ721656:SFZ721662 RWD721656:RWD721662 RMH721656:RMH721662 RCL721656:RCL721662 QSP721656:QSP721662 QIT721656:QIT721662 PYX721656:PYX721662 PPB721656:PPB721662 PFF721656:PFF721662 OVJ721656:OVJ721662 OLN721656:OLN721662 OBR721656:OBR721662 NRV721656:NRV721662 NHZ721656:NHZ721662 MYD721656:MYD721662 MOH721656:MOH721662 MEL721656:MEL721662 LUP721656:LUP721662 LKT721656:LKT721662 LAX721656:LAX721662 KRB721656:KRB721662 KHF721656:KHF721662 JXJ721656:JXJ721662 JNN721656:JNN721662 JDR721656:JDR721662 ITV721656:ITV721662 IJZ721656:IJZ721662 IAD721656:IAD721662 HQH721656:HQH721662 HGL721656:HGL721662 GWP721656:GWP721662 GMT721656:GMT721662 GCX721656:GCX721662 FTB721656:FTB721662 FJF721656:FJF721662 EZJ721656:EZJ721662 EPN721656:EPN721662 EFR721656:EFR721662 DVV721656:DVV721662 DLZ721656:DLZ721662 DCD721656:DCD721662 CSH721656:CSH721662 CIL721656:CIL721662 BYP721656:BYP721662 BOT721656:BOT721662 BEX721656:BEX721662 AVB721656:AVB721662 ALF721656:ALF721662 ABJ721656:ABJ721662 RN721656:RN721662 HR721656:HR721662 WUD656120:WUD656126 WKH656120:WKH656126 WAL656120:WAL656126 VQP656120:VQP656126 VGT656120:VGT656126 UWX656120:UWX656126 UNB656120:UNB656126 UDF656120:UDF656126 TTJ656120:TTJ656126 TJN656120:TJN656126 SZR656120:SZR656126 SPV656120:SPV656126 SFZ656120:SFZ656126 RWD656120:RWD656126 RMH656120:RMH656126 RCL656120:RCL656126 QSP656120:QSP656126 QIT656120:QIT656126 PYX656120:PYX656126 PPB656120:PPB656126 PFF656120:PFF656126 OVJ656120:OVJ656126 OLN656120:OLN656126 OBR656120:OBR656126 NRV656120:NRV656126 NHZ656120:NHZ656126 MYD656120:MYD656126 MOH656120:MOH656126 MEL656120:MEL656126 LUP656120:LUP656126 LKT656120:LKT656126 LAX656120:LAX656126 KRB656120:KRB656126 KHF656120:KHF656126 JXJ656120:JXJ656126 JNN656120:JNN656126 JDR656120:JDR656126 ITV656120:ITV656126 IJZ656120:IJZ656126 IAD656120:IAD656126 HQH656120:HQH656126 HGL656120:HGL656126 GWP656120:GWP656126 GMT656120:GMT656126 GCX656120:GCX656126 FTB656120:FTB656126 FJF656120:FJF656126 EZJ656120:EZJ656126 EPN656120:EPN656126 EFR656120:EFR656126 DVV656120:DVV656126 DLZ656120:DLZ656126 DCD656120:DCD656126 CSH656120:CSH656126 CIL656120:CIL656126 BYP656120:BYP656126 BOT656120:BOT656126 BEX656120:BEX656126 AVB656120:AVB656126 ALF656120:ALF656126 ABJ656120:ABJ656126 RN656120:RN656126 HR656120:HR656126 WUD590584:WUD590590 WKH590584:WKH590590 WAL590584:WAL590590 VQP590584:VQP590590 VGT590584:VGT590590 UWX590584:UWX590590 UNB590584:UNB590590 UDF590584:UDF590590 TTJ590584:TTJ590590 TJN590584:TJN590590 SZR590584:SZR590590 SPV590584:SPV590590 SFZ590584:SFZ590590 RWD590584:RWD590590 RMH590584:RMH590590 RCL590584:RCL590590 QSP590584:QSP590590 QIT590584:QIT590590 PYX590584:PYX590590 PPB590584:PPB590590 PFF590584:PFF590590 OVJ590584:OVJ590590 OLN590584:OLN590590 OBR590584:OBR590590 NRV590584:NRV590590 NHZ590584:NHZ590590 MYD590584:MYD590590 MOH590584:MOH590590 MEL590584:MEL590590 LUP590584:LUP590590 LKT590584:LKT590590 LAX590584:LAX590590 KRB590584:KRB590590 KHF590584:KHF590590 JXJ590584:JXJ590590 JNN590584:JNN590590 JDR590584:JDR590590 ITV590584:ITV590590 IJZ590584:IJZ590590 IAD590584:IAD590590 HQH590584:HQH590590 HGL590584:HGL590590 GWP590584:GWP590590 GMT590584:GMT590590 GCX590584:GCX590590 FTB590584:FTB590590 FJF590584:FJF590590 EZJ590584:EZJ590590 EPN590584:EPN590590 EFR590584:EFR590590 DVV590584:DVV590590 DLZ590584:DLZ590590 DCD590584:DCD590590 CSH590584:CSH590590 CIL590584:CIL590590 BYP590584:BYP590590 BOT590584:BOT590590 BEX590584:BEX590590 AVB590584:AVB590590 ALF590584:ALF590590 ABJ590584:ABJ590590 RN590584:RN590590 HR590584:HR590590 WUD525048:WUD525054 WKH525048:WKH525054 WAL525048:WAL525054 VQP525048:VQP525054 VGT525048:VGT525054 UWX525048:UWX525054 UNB525048:UNB525054 UDF525048:UDF525054 TTJ525048:TTJ525054 TJN525048:TJN525054 SZR525048:SZR525054 SPV525048:SPV525054 SFZ525048:SFZ525054 RWD525048:RWD525054 RMH525048:RMH525054 RCL525048:RCL525054 QSP525048:QSP525054 QIT525048:QIT525054 PYX525048:PYX525054 PPB525048:PPB525054 PFF525048:PFF525054 OVJ525048:OVJ525054 OLN525048:OLN525054 OBR525048:OBR525054 NRV525048:NRV525054 NHZ525048:NHZ525054 MYD525048:MYD525054 MOH525048:MOH525054 MEL525048:MEL525054 LUP525048:LUP525054 LKT525048:LKT525054 LAX525048:LAX525054 KRB525048:KRB525054 KHF525048:KHF525054 JXJ525048:JXJ525054 JNN525048:JNN525054 JDR525048:JDR525054 ITV525048:ITV525054 IJZ525048:IJZ525054 IAD525048:IAD525054 HQH525048:HQH525054 HGL525048:HGL525054 GWP525048:GWP525054 GMT525048:GMT525054 GCX525048:GCX525054 FTB525048:FTB525054 FJF525048:FJF525054 EZJ525048:EZJ525054 EPN525048:EPN525054 EFR525048:EFR525054 DVV525048:DVV525054 DLZ525048:DLZ525054 DCD525048:DCD525054 CSH525048:CSH525054 CIL525048:CIL525054 BYP525048:BYP525054 BOT525048:BOT525054 BEX525048:BEX525054 AVB525048:AVB525054 ALF525048:ALF525054 ABJ525048:ABJ525054 RN525048:RN525054 HR525048:HR525054 WUD459512:WUD459518 WKH459512:WKH459518 WAL459512:WAL459518 VQP459512:VQP459518 VGT459512:VGT459518 UWX459512:UWX459518 UNB459512:UNB459518 UDF459512:UDF459518 TTJ459512:TTJ459518 TJN459512:TJN459518 SZR459512:SZR459518 SPV459512:SPV459518 SFZ459512:SFZ459518 RWD459512:RWD459518 RMH459512:RMH459518 RCL459512:RCL459518 QSP459512:QSP459518 QIT459512:QIT459518 PYX459512:PYX459518 PPB459512:PPB459518 PFF459512:PFF459518 OVJ459512:OVJ459518 OLN459512:OLN459518 OBR459512:OBR459518 NRV459512:NRV459518 NHZ459512:NHZ459518 MYD459512:MYD459518 MOH459512:MOH459518 MEL459512:MEL459518 LUP459512:LUP459518 LKT459512:LKT459518 LAX459512:LAX459518 KRB459512:KRB459518 KHF459512:KHF459518 JXJ459512:JXJ459518 JNN459512:JNN459518 JDR459512:JDR459518 ITV459512:ITV459518 IJZ459512:IJZ459518 IAD459512:IAD459518 HQH459512:HQH459518 HGL459512:HGL459518 GWP459512:GWP459518 GMT459512:GMT459518 GCX459512:GCX459518 FTB459512:FTB459518 FJF459512:FJF459518 EZJ459512:EZJ459518 EPN459512:EPN459518 EFR459512:EFR459518 DVV459512:DVV459518 DLZ459512:DLZ459518 DCD459512:DCD459518 CSH459512:CSH459518 CIL459512:CIL459518 BYP459512:BYP459518 BOT459512:BOT459518 BEX459512:BEX459518 AVB459512:AVB459518 ALF459512:ALF459518 ABJ459512:ABJ459518 RN459512:RN459518 HR459512:HR459518 WUD393976:WUD393982 WKH393976:WKH393982 WAL393976:WAL393982 VQP393976:VQP393982 VGT393976:VGT393982 UWX393976:UWX393982 UNB393976:UNB393982 UDF393976:UDF393982 TTJ393976:TTJ393982 TJN393976:TJN393982 SZR393976:SZR393982 SPV393976:SPV393982 SFZ393976:SFZ393982 RWD393976:RWD393982 RMH393976:RMH393982 RCL393976:RCL393982 QSP393976:QSP393982 QIT393976:QIT393982 PYX393976:PYX393982 PPB393976:PPB393982 PFF393976:PFF393982 OVJ393976:OVJ393982 OLN393976:OLN393982 OBR393976:OBR393982 NRV393976:NRV393982 NHZ393976:NHZ393982 MYD393976:MYD393982 MOH393976:MOH393982 MEL393976:MEL393982 LUP393976:LUP393982 LKT393976:LKT393982 LAX393976:LAX393982 KRB393976:KRB393982 KHF393976:KHF393982 JXJ393976:JXJ393982 JNN393976:JNN393982 JDR393976:JDR393982 ITV393976:ITV393982 IJZ393976:IJZ393982 IAD393976:IAD393982 HQH393976:HQH393982 HGL393976:HGL393982 GWP393976:GWP393982 GMT393976:GMT393982 GCX393976:GCX393982 FTB393976:FTB393982 FJF393976:FJF393982 EZJ393976:EZJ393982 EPN393976:EPN393982 EFR393976:EFR393982 DVV393976:DVV393982 DLZ393976:DLZ393982 DCD393976:DCD393982 CSH393976:CSH393982 CIL393976:CIL393982 BYP393976:BYP393982 BOT393976:BOT393982 BEX393976:BEX393982 AVB393976:AVB393982 ALF393976:ALF393982 ABJ393976:ABJ393982 RN393976:RN393982 HR393976:HR393982 WUD328440:WUD328446 WKH328440:WKH328446 WAL328440:WAL328446 VQP328440:VQP328446 VGT328440:VGT328446 UWX328440:UWX328446 UNB328440:UNB328446 UDF328440:UDF328446 TTJ328440:TTJ328446 TJN328440:TJN328446 SZR328440:SZR328446 SPV328440:SPV328446 SFZ328440:SFZ328446 RWD328440:RWD328446 RMH328440:RMH328446 RCL328440:RCL328446 QSP328440:QSP328446 QIT328440:QIT328446 PYX328440:PYX328446 PPB328440:PPB328446 PFF328440:PFF328446 OVJ328440:OVJ328446 OLN328440:OLN328446 OBR328440:OBR328446 NRV328440:NRV328446 NHZ328440:NHZ328446 MYD328440:MYD328446 MOH328440:MOH328446 MEL328440:MEL328446 LUP328440:LUP328446 LKT328440:LKT328446 LAX328440:LAX328446 KRB328440:KRB328446 KHF328440:KHF328446 JXJ328440:JXJ328446 JNN328440:JNN328446 JDR328440:JDR328446 ITV328440:ITV328446 IJZ328440:IJZ328446 IAD328440:IAD328446 HQH328440:HQH328446 HGL328440:HGL328446 GWP328440:GWP328446 GMT328440:GMT328446 GCX328440:GCX328446 FTB328440:FTB328446 FJF328440:FJF328446 EZJ328440:EZJ328446 EPN328440:EPN328446 EFR328440:EFR328446 DVV328440:DVV328446 DLZ328440:DLZ328446 DCD328440:DCD328446 CSH328440:CSH328446 CIL328440:CIL328446 BYP328440:BYP328446 BOT328440:BOT328446 BEX328440:BEX328446 AVB328440:AVB328446 ALF328440:ALF328446 ABJ328440:ABJ328446 RN328440:RN328446 HR328440:HR328446 WUD262904:WUD262910 WKH262904:WKH262910 WAL262904:WAL262910 VQP262904:VQP262910 VGT262904:VGT262910 UWX262904:UWX262910 UNB262904:UNB262910 UDF262904:UDF262910 TTJ262904:TTJ262910 TJN262904:TJN262910 SZR262904:SZR262910 SPV262904:SPV262910 SFZ262904:SFZ262910 RWD262904:RWD262910 RMH262904:RMH262910 RCL262904:RCL262910 QSP262904:QSP262910 QIT262904:QIT262910 PYX262904:PYX262910 PPB262904:PPB262910 PFF262904:PFF262910 OVJ262904:OVJ262910 OLN262904:OLN262910 OBR262904:OBR262910 NRV262904:NRV262910 NHZ262904:NHZ262910 MYD262904:MYD262910 MOH262904:MOH262910 MEL262904:MEL262910 LUP262904:LUP262910 LKT262904:LKT262910 LAX262904:LAX262910 KRB262904:KRB262910 KHF262904:KHF262910 JXJ262904:JXJ262910 JNN262904:JNN262910 JDR262904:JDR262910 ITV262904:ITV262910 IJZ262904:IJZ262910 IAD262904:IAD262910 HQH262904:HQH262910 HGL262904:HGL262910 GWP262904:GWP262910 GMT262904:GMT262910 GCX262904:GCX262910 FTB262904:FTB262910 FJF262904:FJF262910 EZJ262904:EZJ262910 EPN262904:EPN262910 EFR262904:EFR262910 DVV262904:DVV262910 DLZ262904:DLZ262910 DCD262904:DCD262910 CSH262904:CSH262910 CIL262904:CIL262910 BYP262904:BYP262910 BOT262904:BOT262910 BEX262904:BEX262910 AVB262904:AVB262910 ALF262904:ALF262910 ABJ262904:ABJ262910 RN262904:RN262910 HR262904:HR262910 WUD197368:WUD197374 WKH197368:WKH197374 WAL197368:WAL197374 VQP197368:VQP197374 VGT197368:VGT197374 UWX197368:UWX197374 UNB197368:UNB197374 UDF197368:UDF197374 TTJ197368:TTJ197374 TJN197368:TJN197374 SZR197368:SZR197374 SPV197368:SPV197374 SFZ197368:SFZ197374 RWD197368:RWD197374 RMH197368:RMH197374 RCL197368:RCL197374 QSP197368:QSP197374 QIT197368:QIT197374 PYX197368:PYX197374 PPB197368:PPB197374 PFF197368:PFF197374 OVJ197368:OVJ197374 OLN197368:OLN197374 OBR197368:OBR197374 NRV197368:NRV197374 NHZ197368:NHZ197374 MYD197368:MYD197374 MOH197368:MOH197374 MEL197368:MEL197374 LUP197368:LUP197374 LKT197368:LKT197374 LAX197368:LAX197374 KRB197368:KRB197374 KHF197368:KHF197374 JXJ197368:JXJ197374 JNN197368:JNN197374 JDR197368:JDR197374 ITV197368:ITV197374 IJZ197368:IJZ197374 IAD197368:IAD197374 HQH197368:HQH197374 HGL197368:HGL197374 GWP197368:GWP197374 GMT197368:GMT197374 GCX197368:GCX197374 FTB197368:FTB197374 FJF197368:FJF197374 EZJ197368:EZJ197374 EPN197368:EPN197374 EFR197368:EFR197374 DVV197368:DVV197374 DLZ197368:DLZ197374 DCD197368:DCD197374 CSH197368:CSH197374 CIL197368:CIL197374 BYP197368:BYP197374 BOT197368:BOT197374 BEX197368:BEX197374 AVB197368:AVB197374 ALF197368:ALF197374 ABJ197368:ABJ197374 RN197368:RN197374 HR197368:HR197374 WUD131832:WUD131838 WKH131832:WKH131838 WAL131832:WAL131838 VQP131832:VQP131838 VGT131832:VGT131838 UWX131832:UWX131838 UNB131832:UNB131838 UDF131832:UDF131838 TTJ131832:TTJ131838 TJN131832:TJN131838 SZR131832:SZR131838 SPV131832:SPV131838 SFZ131832:SFZ131838 RWD131832:RWD131838 RMH131832:RMH131838 RCL131832:RCL131838 QSP131832:QSP131838 QIT131832:QIT131838 PYX131832:PYX131838 PPB131832:PPB131838 PFF131832:PFF131838 OVJ131832:OVJ131838 OLN131832:OLN131838 OBR131832:OBR131838 NRV131832:NRV131838 NHZ131832:NHZ131838 MYD131832:MYD131838 MOH131832:MOH131838 MEL131832:MEL131838 LUP131832:LUP131838 LKT131832:LKT131838 LAX131832:LAX131838 KRB131832:KRB131838 KHF131832:KHF131838 JXJ131832:JXJ131838 JNN131832:JNN131838 JDR131832:JDR131838 ITV131832:ITV131838 IJZ131832:IJZ131838 IAD131832:IAD131838 HQH131832:HQH131838 HGL131832:HGL131838 GWP131832:GWP131838 GMT131832:GMT131838 GCX131832:GCX131838 FTB131832:FTB131838 FJF131832:FJF131838 EZJ131832:EZJ131838 EPN131832:EPN131838 EFR131832:EFR131838 DVV131832:DVV131838 DLZ131832:DLZ131838 DCD131832:DCD131838 CSH131832:CSH131838 CIL131832:CIL131838 BYP131832:BYP131838 BOT131832:BOT131838 BEX131832:BEX131838 AVB131832:AVB131838 ALF131832:ALF131838 ABJ131832:ABJ131838 RN131832:RN131838 HR131832:HR131838 WUD66296:WUD66302 WKH66296:WKH66302 WAL66296:WAL66302 VQP66296:VQP66302 VGT66296:VGT66302 UWX66296:UWX66302 UNB66296:UNB66302 UDF66296:UDF66302 TTJ66296:TTJ66302 TJN66296:TJN66302 SZR66296:SZR66302 SPV66296:SPV66302 SFZ66296:SFZ66302 RWD66296:RWD66302 RMH66296:RMH66302 RCL66296:RCL66302 QSP66296:QSP66302 QIT66296:QIT66302 PYX66296:PYX66302 PPB66296:PPB66302 PFF66296:PFF66302 OVJ66296:OVJ66302 OLN66296:OLN66302 OBR66296:OBR66302 NRV66296:NRV66302 NHZ66296:NHZ66302 MYD66296:MYD66302 MOH66296:MOH66302 MEL66296:MEL66302 LUP66296:LUP66302 LKT66296:LKT66302 LAX66296:LAX66302 KRB66296:KRB66302 KHF66296:KHF66302 JXJ66296:JXJ66302 JNN66296:JNN66302 JDR66296:JDR66302 ITV66296:ITV66302 IJZ66296:IJZ66302 IAD66296:IAD66302 HQH66296:HQH66302 HGL66296:HGL66302 GWP66296:GWP66302 GMT66296:GMT66302 GCX66296:GCX66302 FTB66296:FTB66302 FJF66296:FJF66302 EZJ66296:EZJ66302 EPN66296:EPN66302 EFR66296:EFR66302 DVV66296:DVV66302 DLZ66296:DLZ66302 DCD66296:DCD66302 CSH66296:CSH66302 CIL66296:CIL66302 BYP66296:BYP66302 BOT66296:BOT66302 BEX66296:BEX66302 AVB66296:AVB66302 ALF66296:ALF66302 ABJ66296:ABJ66302 RN66296:RN66302 HR66296:HR66302 WUD983381:WUD983391 WKH983381:WKH983391 WAL983381:WAL983391 VQP983381:VQP983391 VGT983381:VGT983391 UWX983381:UWX983391 UNB983381:UNB983391 UDF983381:UDF983391 TTJ983381:TTJ983391 TJN983381:TJN983391 SZR983381:SZR983391 SPV983381:SPV983391 SFZ983381:SFZ983391 RWD983381:RWD983391 RMH983381:RMH983391 RCL983381:RCL983391 QSP983381:QSP983391 QIT983381:QIT983391 PYX983381:PYX983391 PPB983381:PPB983391 PFF983381:PFF983391 OVJ983381:OVJ983391 OLN983381:OLN983391 OBR983381:OBR983391 NRV983381:NRV983391 NHZ983381:NHZ983391 MYD983381:MYD983391 MOH983381:MOH983391 MEL983381:MEL983391 LUP983381:LUP983391 LKT983381:LKT983391 LAX983381:LAX983391 KRB983381:KRB983391 KHF983381:KHF983391 JXJ983381:JXJ983391 JNN983381:JNN983391 JDR983381:JDR983391 ITV983381:ITV983391 IJZ983381:IJZ983391 IAD983381:IAD983391 HQH983381:HQH983391 HGL983381:HGL983391 GWP983381:GWP983391 GMT983381:GMT983391 GCX983381:GCX983391 FTB983381:FTB983391 FJF983381:FJF983391 EZJ983381:EZJ983391 EPN983381:EPN983391 EFR983381:EFR983391 DVV983381:DVV983391 DLZ983381:DLZ983391 DCD983381:DCD983391 CSH983381:CSH983391 CIL983381:CIL983391 BYP983381:BYP983391 BOT983381:BOT983391 BEX983381:BEX983391 AVB983381:AVB983391 ALF983381:ALF983391 ABJ983381:ABJ983391 RN983381:RN983391 HR983381:HR983391 WUD917845:WUD917855 WKH917845:WKH917855 WAL917845:WAL917855 VQP917845:VQP917855 VGT917845:VGT917855 UWX917845:UWX917855 UNB917845:UNB917855 UDF917845:UDF917855 TTJ917845:TTJ917855 TJN917845:TJN917855 SZR917845:SZR917855 SPV917845:SPV917855 SFZ917845:SFZ917855 RWD917845:RWD917855 RMH917845:RMH917855 RCL917845:RCL917855 QSP917845:QSP917855 QIT917845:QIT917855 PYX917845:PYX917855 PPB917845:PPB917855 PFF917845:PFF917855 OVJ917845:OVJ917855 OLN917845:OLN917855 OBR917845:OBR917855 NRV917845:NRV917855 NHZ917845:NHZ917855 MYD917845:MYD917855 MOH917845:MOH917855 MEL917845:MEL917855 LUP917845:LUP917855 LKT917845:LKT917855 LAX917845:LAX917855 KRB917845:KRB917855 KHF917845:KHF917855 JXJ917845:JXJ917855 JNN917845:JNN917855 JDR917845:JDR917855 ITV917845:ITV917855 IJZ917845:IJZ917855 IAD917845:IAD917855 HQH917845:HQH917855 HGL917845:HGL917855 GWP917845:GWP917855 GMT917845:GMT917855 GCX917845:GCX917855 FTB917845:FTB917855 FJF917845:FJF917855 EZJ917845:EZJ917855 EPN917845:EPN917855 EFR917845:EFR917855 DVV917845:DVV917855 DLZ917845:DLZ917855 DCD917845:DCD917855 CSH917845:CSH917855 CIL917845:CIL917855 BYP917845:BYP917855 BOT917845:BOT917855 BEX917845:BEX917855 AVB917845:AVB917855 ALF917845:ALF917855 ABJ917845:ABJ917855 RN917845:RN917855 HR917845:HR917855 WUD852309:WUD852319 WKH852309:WKH852319 WAL852309:WAL852319 VQP852309:VQP852319 VGT852309:VGT852319 UWX852309:UWX852319 UNB852309:UNB852319 UDF852309:UDF852319 TTJ852309:TTJ852319 TJN852309:TJN852319 SZR852309:SZR852319 SPV852309:SPV852319 SFZ852309:SFZ852319 RWD852309:RWD852319 RMH852309:RMH852319 RCL852309:RCL852319 QSP852309:QSP852319 QIT852309:QIT852319 PYX852309:PYX852319 PPB852309:PPB852319 PFF852309:PFF852319 OVJ852309:OVJ852319 OLN852309:OLN852319 OBR852309:OBR852319 NRV852309:NRV852319 NHZ852309:NHZ852319 MYD852309:MYD852319 MOH852309:MOH852319 MEL852309:MEL852319 LUP852309:LUP852319 LKT852309:LKT852319 LAX852309:LAX852319 KRB852309:KRB852319 KHF852309:KHF852319 JXJ852309:JXJ852319 JNN852309:JNN852319 JDR852309:JDR852319 ITV852309:ITV852319 IJZ852309:IJZ852319 IAD852309:IAD852319 HQH852309:HQH852319 HGL852309:HGL852319 GWP852309:GWP852319 GMT852309:GMT852319 GCX852309:GCX852319 FTB852309:FTB852319 FJF852309:FJF852319 EZJ852309:EZJ852319 EPN852309:EPN852319 EFR852309:EFR852319 DVV852309:DVV852319 DLZ852309:DLZ852319 DCD852309:DCD852319 CSH852309:CSH852319 CIL852309:CIL852319 BYP852309:BYP852319 BOT852309:BOT852319 BEX852309:BEX852319 AVB852309:AVB852319 ALF852309:ALF852319 ABJ852309:ABJ852319 RN852309:RN852319 HR852309:HR852319 WUD786773:WUD786783 WKH786773:WKH786783 WAL786773:WAL786783 VQP786773:VQP786783 VGT786773:VGT786783 UWX786773:UWX786783 UNB786773:UNB786783 UDF786773:UDF786783 TTJ786773:TTJ786783 TJN786773:TJN786783 SZR786773:SZR786783 SPV786773:SPV786783 SFZ786773:SFZ786783 RWD786773:RWD786783 RMH786773:RMH786783 RCL786773:RCL786783 QSP786773:QSP786783 QIT786773:QIT786783 PYX786773:PYX786783 PPB786773:PPB786783 PFF786773:PFF786783 OVJ786773:OVJ786783 OLN786773:OLN786783 OBR786773:OBR786783 NRV786773:NRV786783 NHZ786773:NHZ786783 MYD786773:MYD786783 MOH786773:MOH786783 MEL786773:MEL786783 LUP786773:LUP786783 LKT786773:LKT786783 LAX786773:LAX786783 KRB786773:KRB786783 KHF786773:KHF786783 JXJ786773:JXJ786783 JNN786773:JNN786783 JDR786773:JDR786783 ITV786773:ITV786783 IJZ786773:IJZ786783 IAD786773:IAD786783 HQH786773:HQH786783 HGL786773:HGL786783 GWP786773:GWP786783 GMT786773:GMT786783 GCX786773:GCX786783 FTB786773:FTB786783 FJF786773:FJF786783 EZJ786773:EZJ786783 EPN786773:EPN786783 EFR786773:EFR786783 DVV786773:DVV786783 DLZ786773:DLZ786783 DCD786773:DCD786783 CSH786773:CSH786783 CIL786773:CIL786783 BYP786773:BYP786783 BOT786773:BOT786783 BEX786773:BEX786783 AVB786773:AVB786783 ALF786773:ALF786783 ABJ786773:ABJ786783 RN786773:RN786783 HR786773:HR786783 WUD721237:WUD721247 WKH721237:WKH721247 WAL721237:WAL721247 VQP721237:VQP721247 VGT721237:VGT721247 UWX721237:UWX721247 UNB721237:UNB721247 UDF721237:UDF721247 TTJ721237:TTJ721247 TJN721237:TJN721247 SZR721237:SZR721247 SPV721237:SPV721247 SFZ721237:SFZ721247 RWD721237:RWD721247 RMH721237:RMH721247 RCL721237:RCL721247 QSP721237:QSP721247 QIT721237:QIT721247 PYX721237:PYX721247 PPB721237:PPB721247 PFF721237:PFF721247 OVJ721237:OVJ721247 OLN721237:OLN721247 OBR721237:OBR721247 NRV721237:NRV721247 NHZ721237:NHZ721247 MYD721237:MYD721247 MOH721237:MOH721247 MEL721237:MEL721247 LUP721237:LUP721247 LKT721237:LKT721247 LAX721237:LAX721247 KRB721237:KRB721247 KHF721237:KHF721247 JXJ721237:JXJ721247 JNN721237:JNN721247 JDR721237:JDR721247 ITV721237:ITV721247 IJZ721237:IJZ721247 IAD721237:IAD721247 HQH721237:HQH721247 HGL721237:HGL721247 GWP721237:GWP721247 GMT721237:GMT721247 GCX721237:GCX721247 FTB721237:FTB721247 FJF721237:FJF721247 EZJ721237:EZJ721247 EPN721237:EPN721247 EFR721237:EFR721247 DVV721237:DVV721247 DLZ721237:DLZ721247 DCD721237:DCD721247 CSH721237:CSH721247 CIL721237:CIL721247 BYP721237:BYP721247 BOT721237:BOT721247 BEX721237:BEX721247 AVB721237:AVB721247 ALF721237:ALF721247 ABJ721237:ABJ721247 RN721237:RN721247 HR721237:HR721247 WUD655701:WUD655711 WKH655701:WKH655711 WAL655701:WAL655711 VQP655701:VQP655711 VGT655701:VGT655711 UWX655701:UWX655711 UNB655701:UNB655711 UDF655701:UDF655711 TTJ655701:TTJ655711 TJN655701:TJN655711 SZR655701:SZR655711 SPV655701:SPV655711 SFZ655701:SFZ655711 RWD655701:RWD655711 RMH655701:RMH655711 RCL655701:RCL655711 QSP655701:QSP655711 QIT655701:QIT655711 PYX655701:PYX655711 PPB655701:PPB655711 PFF655701:PFF655711 OVJ655701:OVJ655711 OLN655701:OLN655711 OBR655701:OBR655711 NRV655701:NRV655711 NHZ655701:NHZ655711 MYD655701:MYD655711 MOH655701:MOH655711 MEL655701:MEL655711 LUP655701:LUP655711 LKT655701:LKT655711 LAX655701:LAX655711 KRB655701:KRB655711 KHF655701:KHF655711 JXJ655701:JXJ655711 JNN655701:JNN655711 JDR655701:JDR655711 ITV655701:ITV655711 IJZ655701:IJZ655711 IAD655701:IAD655711 HQH655701:HQH655711 HGL655701:HGL655711 GWP655701:GWP655711 GMT655701:GMT655711 GCX655701:GCX655711 FTB655701:FTB655711 FJF655701:FJF655711 EZJ655701:EZJ655711 EPN655701:EPN655711 EFR655701:EFR655711 DVV655701:DVV655711 DLZ655701:DLZ655711 DCD655701:DCD655711 CSH655701:CSH655711 CIL655701:CIL655711 BYP655701:BYP655711 BOT655701:BOT655711 BEX655701:BEX655711 AVB655701:AVB655711 ALF655701:ALF655711 ABJ655701:ABJ655711 RN655701:RN655711 HR655701:HR655711 WUD590165:WUD590175 WKH590165:WKH590175 WAL590165:WAL590175 VQP590165:VQP590175 VGT590165:VGT590175 UWX590165:UWX590175 UNB590165:UNB590175 UDF590165:UDF590175 TTJ590165:TTJ590175 TJN590165:TJN590175 SZR590165:SZR590175 SPV590165:SPV590175 SFZ590165:SFZ590175 RWD590165:RWD590175 RMH590165:RMH590175 RCL590165:RCL590175 QSP590165:QSP590175 QIT590165:QIT590175 PYX590165:PYX590175 PPB590165:PPB590175 PFF590165:PFF590175 OVJ590165:OVJ590175 OLN590165:OLN590175 OBR590165:OBR590175 NRV590165:NRV590175 NHZ590165:NHZ590175 MYD590165:MYD590175 MOH590165:MOH590175 MEL590165:MEL590175 LUP590165:LUP590175 LKT590165:LKT590175 LAX590165:LAX590175 KRB590165:KRB590175 KHF590165:KHF590175 JXJ590165:JXJ590175 JNN590165:JNN590175 JDR590165:JDR590175 ITV590165:ITV590175 IJZ590165:IJZ590175 IAD590165:IAD590175 HQH590165:HQH590175 HGL590165:HGL590175 GWP590165:GWP590175 GMT590165:GMT590175 GCX590165:GCX590175 FTB590165:FTB590175 FJF590165:FJF590175 EZJ590165:EZJ590175 EPN590165:EPN590175 EFR590165:EFR590175 DVV590165:DVV590175 DLZ590165:DLZ590175 DCD590165:DCD590175 CSH590165:CSH590175 CIL590165:CIL590175 BYP590165:BYP590175 BOT590165:BOT590175 BEX590165:BEX590175 AVB590165:AVB590175 ALF590165:ALF590175 ABJ590165:ABJ590175 RN590165:RN590175 HR590165:HR590175 WUD524629:WUD524639 WKH524629:WKH524639 WAL524629:WAL524639 VQP524629:VQP524639 VGT524629:VGT524639 UWX524629:UWX524639 UNB524629:UNB524639 UDF524629:UDF524639 TTJ524629:TTJ524639 TJN524629:TJN524639 SZR524629:SZR524639 SPV524629:SPV524639 SFZ524629:SFZ524639 RWD524629:RWD524639 RMH524629:RMH524639 RCL524629:RCL524639 QSP524629:QSP524639 QIT524629:QIT524639 PYX524629:PYX524639 PPB524629:PPB524639 PFF524629:PFF524639 OVJ524629:OVJ524639 OLN524629:OLN524639 OBR524629:OBR524639 NRV524629:NRV524639 NHZ524629:NHZ524639 MYD524629:MYD524639 MOH524629:MOH524639 MEL524629:MEL524639 LUP524629:LUP524639 LKT524629:LKT524639 LAX524629:LAX524639 KRB524629:KRB524639 KHF524629:KHF524639 JXJ524629:JXJ524639 JNN524629:JNN524639 JDR524629:JDR524639 ITV524629:ITV524639 IJZ524629:IJZ524639 IAD524629:IAD524639 HQH524629:HQH524639 HGL524629:HGL524639 GWP524629:GWP524639 GMT524629:GMT524639 GCX524629:GCX524639 FTB524629:FTB524639 FJF524629:FJF524639 EZJ524629:EZJ524639 EPN524629:EPN524639 EFR524629:EFR524639 DVV524629:DVV524639 DLZ524629:DLZ524639 DCD524629:DCD524639 CSH524629:CSH524639 CIL524629:CIL524639 BYP524629:BYP524639 BOT524629:BOT524639 BEX524629:BEX524639 AVB524629:AVB524639 ALF524629:ALF524639 ABJ524629:ABJ524639 RN524629:RN524639 HR524629:HR524639 WUD459093:WUD459103 WKH459093:WKH459103 WAL459093:WAL459103 VQP459093:VQP459103 VGT459093:VGT459103 UWX459093:UWX459103 UNB459093:UNB459103 UDF459093:UDF459103 TTJ459093:TTJ459103 TJN459093:TJN459103 SZR459093:SZR459103 SPV459093:SPV459103 SFZ459093:SFZ459103 RWD459093:RWD459103 RMH459093:RMH459103 RCL459093:RCL459103 QSP459093:QSP459103 QIT459093:QIT459103 PYX459093:PYX459103 PPB459093:PPB459103 PFF459093:PFF459103 OVJ459093:OVJ459103 OLN459093:OLN459103 OBR459093:OBR459103 NRV459093:NRV459103 NHZ459093:NHZ459103 MYD459093:MYD459103 MOH459093:MOH459103 MEL459093:MEL459103 LUP459093:LUP459103 LKT459093:LKT459103 LAX459093:LAX459103 KRB459093:KRB459103 KHF459093:KHF459103 JXJ459093:JXJ459103 JNN459093:JNN459103 JDR459093:JDR459103 ITV459093:ITV459103 IJZ459093:IJZ459103 IAD459093:IAD459103 HQH459093:HQH459103 HGL459093:HGL459103 GWP459093:GWP459103 GMT459093:GMT459103 GCX459093:GCX459103 FTB459093:FTB459103 FJF459093:FJF459103 EZJ459093:EZJ459103 EPN459093:EPN459103 EFR459093:EFR459103 DVV459093:DVV459103 DLZ459093:DLZ459103 DCD459093:DCD459103 CSH459093:CSH459103 CIL459093:CIL459103 BYP459093:BYP459103 BOT459093:BOT459103 BEX459093:BEX459103 AVB459093:AVB459103 ALF459093:ALF459103 ABJ459093:ABJ459103 RN459093:RN459103 HR459093:HR459103 WUD393557:WUD393567 WKH393557:WKH393567 WAL393557:WAL393567 VQP393557:VQP393567 VGT393557:VGT393567 UWX393557:UWX393567 UNB393557:UNB393567 UDF393557:UDF393567 TTJ393557:TTJ393567 TJN393557:TJN393567 SZR393557:SZR393567 SPV393557:SPV393567 SFZ393557:SFZ393567 RWD393557:RWD393567 RMH393557:RMH393567 RCL393557:RCL393567 QSP393557:QSP393567 QIT393557:QIT393567 PYX393557:PYX393567 PPB393557:PPB393567 PFF393557:PFF393567 OVJ393557:OVJ393567 OLN393557:OLN393567 OBR393557:OBR393567 NRV393557:NRV393567 NHZ393557:NHZ393567 MYD393557:MYD393567 MOH393557:MOH393567 MEL393557:MEL393567 LUP393557:LUP393567 LKT393557:LKT393567 LAX393557:LAX393567 KRB393557:KRB393567 KHF393557:KHF393567 JXJ393557:JXJ393567 JNN393557:JNN393567 JDR393557:JDR393567 ITV393557:ITV393567 IJZ393557:IJZ393567 IAD393557:IAD393567 HQH393557:HQH393567 HGL393557:HGL393567 GWP393557:GWP393567 GMT393557:GMT393567 GCX393557:GCX393567 FTB393557:FTB393567 FJF393557:FJF393567 EZJ393557:EZJ393567 EPN393557:EPN393567 EFR393557:EFR393567 DVV393557:DVV393567 DLZ393557:DLZ393567 DCD393557:DCD393567 CSH393557:CSH393567 CIL393557:CIL393567 BYP393557:BYP393567 BOT393557:BOT393567 BEX393557:BEX393567 AVB393557:AVB393567 ALF393557:ALF393567 ABJ393557:ABJ393567 RN393557:RN393567 HR393557:HR393567 WUD328021:WUD328031 WKH328021:WKH328031 WAL328021:WAL328031 VQP328021:VQP328031 VGT328021:VGT328031 UWX328021:UWX328031 UNB328021:UNB328031 UDF328021:UDF328031 TTJ328021:TTJ328031 TJN328021:TJN328031 SZR328021:SZR328031 SPV328021:SPV328031 SFZ328021:SFZ328031 RWD328021:RWD328031 RMH328021:RMH328031 RCL328021:RCL328031 QSP328021:QSP328031 QIT328021:QIT328031 PYX328021:PYX328031 PPB328021:PPB328031 PFF328021:PFF328031 OVJ328021:OVJ328031 OLN328021:OLN328031 OBR328021:OBR328031 NRV328021:NRV328031 NHZ328021:NHZ328031 MYD328021:MYD328031 MOH328021:MOH328031 MEL328021:MEL328031 LUP328021:LUP328031 LKT328021:LKT328031 LAX328021:LAX328031 KRB328021:KRB328031 KHF328021:KHF328031 JXJ328021:JXJ328031 JNN328021:JNN328031 JDR328021:JDR328031 ITV328021:ITV328031 IJZ328021:IJZ328031 IAD328021:IAD328031 HQH328021:HQH328031 HGL328021:HGL328031 GWP328021:GWP328031 GMT328021:GMT328031 GCX328021:GCX328031 FTB328021:FTB328031 FJF328021:FJF328031 EZJ328021:EZJ328031 EPN328021:EPN328031 EFR328021:EFR328031 DVV328021:DVV328031 DLZ328021:DLZ328031 DCD328021:DCD328031 CSH328021:CSH328031 CIL328021:CIL328031 BYP328021:BYP328031 BOT328021:BOT328031 BEX328021:BEX328031 AVB328021:AVB328031 ALF328021:ALF328031 ABJ328021:ABJ328031 RN328021:RN328031 HR328021:HR328031 WUD262485:WUD262495 WKH262485:WKH262495 WAL262485:WAL262495 VQP262485:VQP262495 VGT262485:VGT262495 UWX262485:UWX262495 UNB262485:UNB262495 UDF262485:UDF262495 TTJ262485:TTJ262495 TJN262485:TJN262495 SZR262485:SZR262495 SPV262485:SPV262495 SFZ262485:SFZ262495 RWD262485:RWD262495 RMH262485:RMH262495 RCL262485:RCL262495 QSP262485:QSP262495 QIT262485:QIT262495 PYX262485:PYX262495 PPB262485:PPB262495 PFF262485:PFF262495 OVJ262485:OVJ262495 OLN262485:OLN262495 OBR262485:OBR262495 NRV262485:NRV262495 NHZ262485:NHZ262495 MYD262485:MYD262495 MOH262485:MOH262495 MEL262485:MEL262495 LUP262485:LUP262495 LKT262485:LKT262495 LAX262485:LAX262495 KRB262485:KRB262495 KHF262485:KHF262495 JXJ262485:JXJ262495 JNN262485:JNN262495 JDR262485:JDR262495 ITV262485:ITV262495 IJZ262485:IJZ262495 IAD262485:IAD262495 HQH262485:HQH262495 HGL262485:HGL262495 GWP262485:GWP262495 GMT262485:GMT262495 GCX262485:GCX262495 FTB262485:FTB262495 FJF262485:FJF262495 EZJ262485:EZJ262495 EPN262485:EPN262495 EFR262485:EFR262495 DVV262485:DVV262495 DLZ262485:DLZ262495 DCD262485:DCD262495 CSH262485:CSH262495 CIL262485:CIL262495 BYP262485:BYP262495 BOT262485:BOT262495 BEX262485:BEX262495 AVB262485:AVB262495 ALF262485:ALF262495 ABJ262485:ABJ262495 RN262485:RN262495 HR262485:HR262495 WUD196949:WUD196959 WKH196949:WKH196959 WAL196949:WAL196959 VQP196949:VQP196959 VGT196949:VGT196959 UWX196949:UWX196959 UNB196949:UNB196959 UDF196949:UDF196959 TTJ196949:TTJ196959 TJN196949:TJN196959 SZR196949:SZR196959 SPV196949:SPV196959 SFZ196949:SFZ196959 RWD196949:RWD196959 RMH196949:RMH196959 RCL196949:RCL196959 QSP196949:QSP196959 QIT196949:QIT196959 PYX196949:PYX196959 PPB196949:PPB196959 PFF196949:PFF196959 OVJ196949:OVJ196959 OLN196949:OLN196959 OBR196949:OBR196959 NRV196949:NRV196959 NHZ196949:NHZ196959 MYD196949:MYD196959 MOH196949:MOH196959 MEL196949:MEL196959 LUP196949:LUP196959 LKT196949:LKT196959 LAX196949:LAX196959 KRB196949:KRB196959 KHF196949:KHF196959 JXJ196949:JXJ196959 JNN196949:JNN196959 JDR196949:JDR196959 ITV196949:ITV196959 IJZ196949:IJZ196959 IAD196949:IAD196959 HQH196949:HQH196959 HGL196949:HGL196959 GWP196949:GWP196959 GMT196949:GMT196959 GCX196949:GCX196959 FTB196949:FTB196959 FJF196949:FJF196959 EZJ196949:EZJ196959 EPN196949:EPN196959 EFR196949:EFR196959 DVV196949:DVV196959 DLZ196949:DLZ196959 DCD196949:DCD196959 CSH196949:CSH196959 CIL196949:CIL196959 BYP196949:BYP196959 BOT196949:BOT196959 BEX196949:BEX196959 AVB196949:AVB196959 ALF196949:ALF196959 ABJ196949:ABJ196959 RN196949:RN196959 HR196949:HR196959 WUD131413:WUD131423 WKH131413:WKH131423 WAL131413:WAL131423 VQP131413:VQP131423 VGT131413:VGT131423 UWX131413:UWX131423 UNB131413:UNB131423 UDF131413:UDF131423 TTJ131413:TTJ131423 TJN131413:TJN131423 SZR131413:SZR131423 SPV131413:SPV131423 SFZ131413:SFZ131423 RWD131413:RWD131423 RMH131413:RMH131423 RCL131413:RCL131423 QSP131413:QSP131423 QIT131413:QIT131423 PYX131413:PYX131423 PPB131413:PPB131423 PFF131413:PFF131423 OVJ131413:OVJ131423 OLN131413:OLN131423 OBR131413:OBR131423 NRV131413:NRV131423 NHZ131413:NHZ131423 MYD131413:MYD131423 MOH131413:MOH131423 MEL131413:MEL131423 LUP131413:LUP131423 LKT131413:LKT131423 LAX131413:LAX131423 KRB131413:KRB131423 KHF131413:KHF131423 JXJ131413:JXJ131423 JNN131413:JNN131423 JDR131413:JDR131423 ITV131413:ITV131423 IJZ131413:IJZ131423 IAD131413:IAD131423 HQH131413:HQH131423 HGL131413:HGL131423 GWP131413:GWP131423 GMT131413:GMT131423 GCX131413:GCX131423 FTB131413:FTB131423 FJF131413:FJF131423 EZJ131413:EZJ131423 EPN131413:EPN131423 EFR131413:EFR131423 DVV131413:DVV131423 DLZ131413:DLZ131423 DCD131413:DCD131423 CSH131413:CSH131423 CIL131413:CIL131423 BYP131413:BYP131423 BOT131413:BOT131423 BEX131413:BEX131423 AVB131413:AVB131423 ALF131413:ALF131423 ABJ131413:ABJ131423 RN131413:RN131423 HR131413:HR131423 WUD65877:WUD65887 WKH65877:WKH65887 WAL65877:WAL65887 VQP65877:VQP65887 VGT65877:VGT65887 UWX65877:UWX65887 UNB65877:UNB65887 UDF65877:UDF65887 TTJ65877:TTJ65887 TJN65877:TJN65887 SZR65877:SZR65887 SPV65877:SPV65887 SFZ65877:SFZ65887 RWD65877:RWD65887 RMH65877:RMH65887 RCL65877:RCL65887 QSP65877:QSP65887 QIT65877:QIT65887 PYX65877:PYX65887 PPB65877:PPB65887 PFF65877:PFF65887 OVJ65877:OVJ65887 OLN65877:OLN65887 OBR65877:OBR65887 NRV65877:NRV65887 NHZ65877:NHZ65887 MYD65877:MYD65887 MOH65877:MOH65887 MEL65877:MEL65887 LUP65877:LUP65887 LKT65877:LKT65887 LAX65877:LAX65887 KRB65877:KRB65887 KHF65877:KHF65887 JXJ65877:JXJ65887 JNN65877:JNN65887 JDR65877:JDR65887 ITV65877:ITV65887 IJZ65877:IJZ65887 IAD65877:IAD65887 HQH65877:HQH65887 HGL65877:HGL65887 GWP65877:GWP65887 GMT65877:GMT65887 GCX65877:GCX65887 FTB65877:FTB65887 FJF65877:FJF65887 EZJ65877:EZJ65887 EPN65877:EPN65887 EFR65877:EFR65887 DVV65877:DVV65887 DLZ65877:DLZ65887 DCD65877:DCD65887 CSH65877:CSH65887 CIL65877:CIL65887 BYP65877:BYP65887 BOT65877:BOT65887 BEX65877:BEX65887 AVB65877:AVB65887 ALF65877:ALF65887 ABJ65877:ABJ65887 RN65877:RN65887 HR65877:HR65887 WUD983274:WUD983278 WKH983274:WKH983278 WAL983274:WAL983278 VQP983274:VQP983278 VGT983274:VGT983278 UWX983274:UWX983278 UNB983274:UNB983278 UDF983274:UDF983278 TTJ983274:TTJ983278 TJN983274:TJN983278 SZR983274:SZR983278 SPV983274:SPV983278 SFZ983274:SFZ983278 RWD983274:RWD983278 RMH983274:RMH983278 RCL983274:RCL983278 QSP983274:QSP983278 QIT983274:QIT983278 PYX983274:PYX983278 PPB983274:PPB983278 PFF983274:PFF983278 OVJ983274:OVJ983278 OLN983274:OLN983278 OBR983274:OBR983278 NRV983274:NRV983278 NHZ983274:NHZ983278 MYD983274:MYD983278 MOH983274:MOH983278 MEL983274:MEL983278 LUP983274:LUP983278 LKT983274:LKT983278 LAX983274:LAX983278 KRB983274:KRB983278 KHF983274:KHF983278 JXJ983274:JXJ983278 JNN983274:JNN983278 JDR983274:JDR983278 ITV983274:ITV983278 IJZ983274:IJZ983278 IAD983274:IAD983278 HQH983274:HQH983278 HGL983274:HGL983278 GWP983274:GWP983278 GMT983274:GMT983278 GCX983274:GCX983278 FTB983274:FTB983278 FJF983274:FJF983278 EZJ983274:EZJ983278 EPN983274:EPN983278 EFR983274:EFR983278 DVV983274:DVV983278 DLZ983274:DLZ983278 DCD983274:DCD983278 CSH983274:CSH983278 CIL983274:CIL983278 BYP983274:BYP983278 BOT983274:BOT983278 BEX983274:BEX983278 AVB983274:AVB983278 ALF983274:ALF983278 ABJ983274:ABJ983278 RN983274:RN983278 HR983274:HR983278 WUD917738:WUD917742 WKH917738:WKH917742 WAL917738:WAL917742 VQP917738:VQP917742 VGT917738:VGT917742 UWX917738:UWX917742 UNB917738:UNB917742 UDF917738:UDF917742 TTJ917738:TTJ917742 TJN917738:TJN917742 SZR917738:SZR917742 SPV917738:SPV917742 SFZ917738:SFZ917742 RWD917738:RWD917742 RMH917738:RMH917742 RCL917738:RCL917742 QSP917738:QSP917742 QIT917738:QIT917742 PYX917738:PYX917742 PPB917738:PPB917742 PFF917738:PFF917742 OVJ917738:OVJ917742 OLN917738:OLN917742 OBR917738:OBR917742 NRV917738:NRV917742 NHZ917738:NHZ917742 MYD917738:MYD917742 MOH917738:MOH917742 MEL917738:MEL917742 LUP917738:LUP917742 LKT917738:LKT917742 LAX917738:LAX917742 KRB917738:KRB917742 KHF917738:KHF917742 JXJ917738:JXJ917742 JNN917738:JNN917742 JDR917738:JDR917742 ITV917738:ITV917742 IJZ917738:IJZ917742 IAD917738:IAD917742 HQH917738:HQH917742 HGL917738:HGL917742 GWP917738:GWP917742 GMT917738:GMT917742 GCX917738:GCX917742 FTB917738:FTB917742 FJF917738:FJF917742 EZJ917738:EZJ917742 EPN917738:EPN917742 EFR917738:EFR917742 DVV917738:DVV917742 DLZ917738:DLZ917742 DCD917738:DCD917742 CSH917738:CSH917742 CIL917738:CIL917742 BYP917738:BYP917742 BOT917738:BOT917742 BEX917738:BEX917742 AVB917738:AVB917742 ALF917738:ALF917742 ABJ917738:ABJ917742 RN917738:RN917742 HR917738:HR917742 WUD852202:WUD852206 WKH852202:WKH852206 WAL852202:WAL852206 VQP852202:VQP852206 VGT852202:VGT852206 UWX852202:UWX852206 UNB852202:UNB852206 UDF852202:UDF852206 TTJ852202:TTJ852206 TJN852202:TJN852206 SZR852202:SZR852206 SPV852202:SPV852206 SFZ852202:SFZ852206 RWD852202:RWD852206 RMH852202:RMH852206 RCL852202:RCL852206 QSP852202:QSP852206 QIT852202:QIT852206 PYX852202:PYX852206 PPB852202:PPB852206 PFF852202:PFF852206 OVJ852202:OVJ852206 OLN852202:OLN852206 OBR852202:OBR852206 NRV852202:NRV852206 NHZ852202:NHZ852206 MYD852202:MYD852206 MOH852202:MOH852206 MEL852202:MEL852206 LUP852202:LUP852206 LKT852202:LKT852206 LAX852202:LAX852206 KRB852202:KRB852206 KHF852202:KHF852206 JXJ852202:JXJ852206 JNN852202:JNN852206 JDR852202:JDR852206 ITV852202:ITV852206 IJZ852202:IJZ852206 IAD852202:IAD852206 HQH852202:HQH852206 HGL852202:HGL852206 GWP852202:GWP852206 GMT852202:GMT852206 GCX852202:GCX852206 FTB852202:FTB852206 FJF852202:FJF852206 EZJ852202:EZJ852206 EPN852202:EPN852206 EFR852202:EFR852206 DVV852202:DVV852206 DLZ852202:DLZ852206 DCD852202:DCD852206 CSH852202:CSH852206 CIL852202:CIL852206 BYP852202:BYP852206 BOT852202:BOT852206 BEX852202:BEX852206 AVB852202:AVB852206 ALF852202:ALF852206 ABJ852202:ABJ852206 RN852202:RN852206 HR852202:HR852206 WUD786666:WUD786670 WKH786666:WKH786670 WAL786666:WAL786670 VQP786666:VQP786670 VGT786666:VGT786670 UWX786666:UWX786670 UNB786666:UNB786670 UDF786666:UDF786670 TTJ786666:TTJ786670 TJN786666:TJN786670 SZR786666:SZR786670 SPV786666:SPV786670 SFZ786666:SFZ786670 RWD786666:RWD786670 RMH786666:RMH786670 RCL786666:RCL786670 QSP786666:QSP786670 QIT786666:QIT786670 PYX786666:PYX786670 PPB786666:PPB786670 PFF786666:PFF786670 OVJ786666:OVJ786670 OLN786666:OLN786670 OBR786666:OBR786670 NRV786666:NRV786670 NHZ786666:NHZ786670 MYD786666:MYD786670 MOH786666:MOH786670 MEL786666:MEL786670 LUP786666:LUP786670 LKT786666:LKT786670 LAX786666:LAX786670 KRB786666:KRB786670 KHF786666:KHF786670 JXJ786666:JXJ786670 JNN786666:JNN786670 JDR786666:JDR786670 ITV786666:ITV786670 IJZ786666:IJZ786670 IAD786666:IAD786670 HQH786666:HQH786670 HGL786666:HGL786670 GWP786666:GWP786670 GMT786666:GMT786670 GCX786666:GCX786670 FTB786666:FTB786670 FJF786666:FJF786670 EZJ786666:EZJ786670 EPN786666:EPN786670 EFR786666:EFR786670 DVV786666:DVV786670 DLZ786666:DLZ786670 DCD786666:DCD786670 CSH786666:CSH786670 CIL786666:CIL786670 BYP786666:BYP786670 BOT786666:BOT786670 BEX786666:BEX786670 AVB786666:AVB786670 ALF786666:ALF786670 ABJ786666:ABJ786670 RN786666:RN786670 HR786666:HR786670 WUD721130:WUD721134 WKH721130:WKH721134 WAL721130:WAL721134 VQP721130:VQP721134 VGT721130:VGT721134 UWX721130:UWX721134 UNB721130:UNB721134 UDF721130:UDF721134 TTJ721130:TTJ721134 TJN721130:TJN721134 SZR721130:SZR721134 SPV721130:SPV721134 SFZ721130:SFZ721134 RWD721130:RWD721134 RMH721130:RMH721134 RCL721130:RCL721134 QSP721130:QSP721134 QIT721130:QIT721134 PYX721130:PYX721134 PPB721130:PPB721134 PFF721130:PFF721134 OVJ721130:OVJ721134 OLN721130:OLN721134 OBR721130:OBR721134 NRV721130:NRV721134 NHZ721130:NHZ721134 MYD721130:MYD721134 MOH721130:MOH721134 MEL721130:MEL721134 LUP721130:LUP721134 LKT721130:LKT721134 LAX721130:LAX721134 KRB721130:KRB721134 KHF721130:KHF721134 JXJ721130:JXJ721134 JNN721130:JNN721134 JDR721130:JDR721134 ITV721130:ITV721134 IJZ721130:IJZ721134 IAD721130:IAD721134 HQH721130:HQH721134 HGL721130:HGL721134 GWP721130:GWP721134 GMT721130:GMT721134 GCX721130:GCX721134 FTB721130:FTB721134 FJF721130:FJF721134 EZJ721130:EZJ721134 EPN721130:EPN721134 EFR721130:EFR721134 DVV721130:DVV721134 DLZ721130:DLZ721134 DCD721130:DCD721134 CSH721130:CSH721134 CIL721130:CIL721134 BYP721130:BYP721134 BOT721130:BOT721134 BEX721130:BEX721134 AVB721130:AVB721134 ALF721130:ALF721134 ABJ721130:ABJ721134 RN721130:RN721134 HR721130:HR721134 WUD655594:WUD655598 WKH655594:WKH655598 WAL655594:WAL655598 VQP655594:VQP655598 VGT655594:VGT655598 UWX655594:UWX655598 UNB655594:UNB655598 UDF655594:UDF655598 TTJ655594:TTJ655598 TJN655594:TJN655598 SZR655594:SZR655598 SPV655594:SPV655598 SFZ655594:SFZ655598 RWD655594:RWD655598 RMH655594:RMH655598 RCL655594:RCL655598 QSP655594:QSP655598 QIT655594:QIT655598 PYX655594:PYX655598 PPB655594:PPB655598 PFF655594:PFF655598 OVJ655594:OVJ655598 OLN655594:OLN655598 OBR655594:OBR655598 NRV655594:NRV655598 NHZ655594:NHZ655598 MYD655594:MYD655598 MOH655594:MOH655598 MEL655594:MEL655598 LUP655594:LUP655598 LKT655594:LKT655598 LAX655594:LAX655598 KRB655594:KRB655598 KHF655594:KHF655598 JXJ655594:JXJ655598 JNN655594:JNN655598 JDR655594:JDR655598 ITV655594:ITV655598 IJZ655594:IJZ655598 IAD655594:IAD655598 HQH655594:HQH655598 HGL655594:HGL655598 GWP655594:GWP655598 GMT655594:GMT655598 GCX655594:GCX655598 FTB655594:FTB655598 FJF655594:FJF655598 EZJ655594:EZJ655598 EPN655594:EPN655598 EFR655594:EFR655598 DVV655594:DVV655598 DLZ655594:DLZ655598 DCD655594:DCD655598 CSH655594:CSH655598 CIL655594:CIL655598 BYP655594:BYP655598 BOT655594:BOT655598 BEX655594:BEX655598 AVB655594:AVB655598 ALF655594:ALF655598 ABJ655594:ABJ655598 RN655594:RN655598 HR655594:HR655598 WUD590058:WUD590062 WKH590058:WKH590062 WAL590058:WAL590062 VQP590058:VQP590062 VGT590058:VGT590062 UWX590058:UWX590062 UNB590058:UNB590062 UDF590058:UDF590062 TTJ590058:TTJ590062 TJN590058:TJN590062 SZR590058:SZR590062 SPV590058:SPV590062 SFZ590058:SFZ590062 RWD590058:RWD590062 RMH590058:RMH590062 RCL590058:RCL590062 QSP590058:QSP590062 QIT590058:QIT590062 PYX590058:PYX590062 PPB590058:PPB590062 PFF590058:PFF590062 OVJ590058:OVJ590062 OLN590058:OLN590062 OBR590058:OBR590062 NRV590058:NRV590062 NHZ590058:NHZ590062 MYD590058:MYD590062 MOH590058:MOH590062 MEL590058:MEL590062 LUP590058:LUP590062 LKT590058:LKT590062 LAX590058:LAX590062 KRB590058:KRB590062 KHF590058:KHF590062 JXJ590058:JXJ590062 JNN590058:JNN590062 JDR590058:JDR590062 ITV590058:ITV590062 IJZ590058:IJZ590062 IAD590058:IAD590062 HQH590058:HQH590062 HGL590058:HGL590062 GWP590058:GWP590062 GMT590058:GMT590062 GCX590058:GCX590062 FTB590058:FTB590062 FJF590058:FJF590062 EZJ590058:EZJ590062 EPN590058:EPN590062 EFR590058:EFR590062 DVV590058:DVV590062 DLZ590058:DLZ590062 DCD590058:DCD590062 CSH590058:CSH590062 CIL590058:CIL590062 BYP590058:BYP590062 BOT590058:BOT590062 BEX590058:BEX590062 AVB590058:AVB590062 ALF590058:ALF590062 ABJ590058:ABJ590062 RN590058:RN590062 HR590058:HR590062 WUD524522:WUD524526 WKH524522:WKH524526 WAL524522:WAL524526 VQP524522:VQP524526 VGT524522:VGT524526 UWX524522:UWX524526 UNB524522:UNB524526 UDF524522:UDF524526 TTJ524522:TTJ524526 TJN524522:TJN524526 SZR524522:SZR524526 SPV524522:SPV524526 SFZ524522:SFZ524526 RWD524522:RWD524526 RMH524522:RMH524526 RCL524522:RCL524526 QSP524522:QSP524526 QIT524522:QIT524526 PYX524522:PYX524526 PPB524522:PPB524526 PFF524522:PFF524526 OVJ524522:OVJ524526 OLN524522:OLN524526 OBR524522:OBR524526 NRV524522:NRV524526 NHZ524522:NHZ524526 MYD524522:MYD524526 MOH524522:MOH524526 MEL524522:MEL524526 LUP524522:LUP524526 LKT524522:LKT524526 LAX524522:LAX524526 KRB524522:KRB524526 KHF524522:KHF524526 JXJ524522:JXJ524526 JNN524522:JNN524526 JDR524522:JDR524526 ITV524522:ITV524526 IJZ524522:IJZ524526 IAD524522:IAD524526 HQH524522:HQH524526 HGL524522:HGL524526 GWP524522:GWP524526 GMT524522:GMT524526 GCX524522:GCX524526 FTB524522:FTB524526 FJF524522:FJF524526 EZJ524522:EZJ524526 EPN524522:EPN524526 EFR524522:EFR524526 DVV524522:DVV524526 DLZ524522:DLZ524526 DCD524522:DCD524526 CSH524522:CSH524526 CIL524522:CIL524526 BYP524522:BYP524526 BOT524522:BOT524526 BEX524522:BEX524526 AVB524522:AVB524526 ALF524522:ALF524526 ABJ524522:ABJ524526 RN524522:RN524526 HR524522:HR524526 WUD458986:WUD458990 WKH458986:WKH458990 WAL458986:WAL458990 VQP458986:VQP458990 VGT458986:VGT458990 UWX458986:UWX458990 UNB458986:UNB458990 UDF458986:UDF458990 TTJ458986:TTJ458990 TJN458986:TJN458990 SZR458986:SZR458990 SPV458986:SPV458990 SFZ458986:SFZ458990 RWD458986:RWD458990 RMH458986:RMH458990 RCL458986:RCL458990 QSP458986:QSP458990 QIT458986:QIT458990 PYX458986:PYX458990 PPB458986:PPB458990 PFF458986:PFF458990 OVJ458986:OVJ458990 OLN458986:OLN458990 OBR458986:OBR458990 NRV458986:NRV458990 NHZ458986:NHZ458990 MYD458986:MYD458990 MOH458986:MOH458990 MEL458986:MEL458990 LUP458986:LUP458990 LKT458986:LKT458990 LAX458986:LAX458990 KRB458986:KRB458990 KHF458986:KHF458990 JXJ458986:JXJ458990 JNN458986:JNN458990 JDR458986:JDR458990 ITV458986:ITV458990 IJZ458986:IJZ458990 IAD458986:IAD458990 HQH458986:HQH458990 HGL458986:HGL458990 GWP458986:GWP458990 GMT458986:GMT458990 GCX458986:GCX458990 FTB458986:FTB458990 FJF458986:FJF458990 EZJ458986:EZJ458990 EPN458986:EPN458990 EFR458986:EFR458990 DVV458986:DVV458990 DLZ458986:DLZ458990 DCD458986:DCD458990 CSH458986:CSH458990 CIL458986:CIL458990 BYP458986:BYP458990 BOT458986:BOT458990 BEX458986:BEX458990 AVB458986:AVB458990 ALF458986:ALF458990 ABJ458986:ABJ458990 RN458986:RN458990 HR458986:HR458990 WUD393450:WUD393454 WKH393450:WKH393454 WAL393450:WAL393454 VQP393450:VQP393454 VGT393450:VGT393454 UWX393450:UWX393454 UNB393450:UNB393454 UDF393450:UDF393454 TTJ393450:TTJ393454 TJN393450:TJN393454 SZR393450:SZR393454 SPV393450:SPV393454 SFZ393450:SFZ393454 RWD393450:RWD393454 RMH393450:RMH393454 RCL393450:RCL393454 QSP393450:QSP393454 QIT393450:QIT393454 PYX393450:PYX393454 PPB393450:PPB393454 PFF393450:PFF393454 OVJ393450:OVJ393454 OLN393450:OLN393454 OBR393450:OBR393454 NRV393450:NRV393454 NHZ393450:NHZ393454 MYD393450:MYD393454 MOH393450:MOH393454 MEL393450:MEL393454 LUP393450:LUP393454 LKT393450:LKT393454 LAX393450:LAX393454 KRB393450:KRB393454 KHF393450:KHF393454 JXJ393450:JXJ393454 JNN393450:JNN393454 JDR393450:JDR393454 ITV393450:ITV393454 IJZ393450:IJZ393454 IAD393450:IAD393454 HQH393450:HQH393454 HGL393450:HGL393454 GWP393450:GWP393454 GMT393450:GMT393454 GCX393450:GCX393454 FTB393450:FTB393454 FJF393450:FJF393454 EZJ393450:EZJ393454 EPN393450:EPN393454 EFR393450:EFR393454 DVV393450:DVV393454 DLZ393450:DLZ393454 DCD393450:DCD393454 CSH393450:CSH393454 CIL393450:CIL393454 BYP393450:BYP393454 BOT393450:BOT393454 BEX393450:BEX393454 AVB393450:AVB393454 ALF393450:ALF393454 ABJ393450:ABJ393454 RN393450:RN393454 HR393450:HR393454 WUD327914:WUD327918 WKH327914:WKH327918 WAL327914:WAL327918 VQP327914:VQP327918 VGT327914:VGT327918 UWX327914:UWX327918 UNB327914:UNB327918 UDF327914:UDF327918 TTJ327914:TTJ327918 TJN327914:TJN327918 SZR327914:SZR327918 SPV327914:SPV327918 SFZ327914:SFZ327918 RWD327914:RWD327918 RMH327914:RMH327918 RCL327914:RCL327918 QSP327914:QSP327918 QIT327914:QIT327918 PYX327914:PYX327918 PPB327914:PPB327918 PFF327914:PFF327918 OVJ327914:OVJ327918 OLN327914:OLN327918 OBR327914:OBR327918 NRV327914:NRV327918 NHZ327914:NHZ327918 MYD327914:MYD327918 MOH327914:MOH327918 MEL327914:MEL327918 LUP327914:LUP327918 LKT327914:LKT327918 LAX327914:LAX327918 KRB327914:KRB327918 KHF327914:KHF327918 JXJ327914:JXJ327918 JNN327914:JNN327918 JDR327914:JDR327918 ITV327914:ITV327918 IJZ327914:IJZ327918 IAD327914:IAD327918 HQH327914:HQH327918 HGL327914:HGL327918 GWP327914:GWP327918 GMT327914:GMT327918 GCX327914:GCX327918 FTB327914:FTB327918 FJF327914:FJF327918 EZJ327914:EZJ327918 EPN327914:EPN327918 EFR327914:EFR327918 DVV327914:DVV327918 DLZ327914:DLZ327918 DCD327914:DCD327918 CSH327914:CSH327918 CIL327914:CIL327918 BYP327914:BYP327918 BOT327914:BOT327918 BEX327914:BEX327918 AVB327914:AVB327918 ALF327914:ALF327918 ABJ327914:ABJ327918 RN327914:RN327918 HR327914:HR327918 WUD262378:WUD262382 WKH262378:WKH262382 WAL262378:WAL262382 VQP262378:VQP262382 VGT262378:VGT262382 UWX262378:UWX262382 UNB262378:UNB262382 UDF262378:UDF262382 TTJ262378:TTJ262382 TJN262378:TJN262382 SZR262378:SZR262382 SPV262378:SPV262382 SFZ262378:SFZ262382 RWD262378:RWD262382 RMH262378:RMH262382 RCL262378:RCL262382 QSP262378:QSP262382 QIT262378:QIT262382 PYX262378:PYX262382 PPB262378:PPB262382 PFF262378:PFF262382 OVJ262378:OVJ262382 OLN262378:OLN262382 OBR262378:OBR262382 NRV262378:NRV262382 NHZ262378:NHZ262382 MYD262378:MYD262382 MOH262378:MOH262382 MEL262378:MEL262382 LUP262378:LUP262382 LKT262378:LKT262382 LAX262378:LAX262382 KRB262378:KRB262382 KHF262378:KHF262382 JXJ262378:JXJ262382 JNN262378:JNN262382 JDR262378:JDR262382 ITV262378:ITV262382 IJZ262378:IJZ262382 IAD262378:IAD262382 HQH262378:HQH262382 HGL262378:HGL262382 GWP262378:GWP262382 GMT262378:GMT262382 GCX262378:GCX262382 FTB262378:FTB262382 FJF262378:FJF262382 EZJ262378:EZJ262382 EPN262378:EPN262382 EFR262378:EFR262382 DVV262378:DVV262382 DLZ262378:DLZ262382 DCD262378:DCD262382 CSH262378:CSH262382 CIL262378:CIL262382 BYP262378:BYP262382 BOT262378:BOT262382 BEX262378:BEX262382 AVB262378:AVB262382 ALF262378:ALF262382 ABJ262378:ABJ262382 RN262378:RN262382 HR262378:HR262382 WUD196842:WUD196846 WKH196842:WKH196846 WAL196842:WAL196846 VQP196842:VQP196846 VGT196842:VGT196846 UWX196842:UWX196846 UNB196842:UNB196846 UDF196842:UDF196846 TTJ196842:TTJ196846 TJN196842:TJN196846 SZR196842:SZR196846 SPV196842:SPV196846 SFZ196842:SFZ196846 RWD196842:RWD196846 RMH196842:RMH196846 RCL196842:RCL196846 QSP196842:QSP196846 QIT196842:QIT196846 PYX196842:PYX196846 PPB196842:PPB196846 PFF196842:PFF196846 OVJ196842:OVJ196846 OLN196842:OLN196846 OBR196842:OBR196846 NRV196842:NRV196846 NHZ196842:NHZ196846 MYD196842:MYD196846 MOH196842:MOH196846 MEL196842:MEL196846 LUP196842:LUP196846 LKT196842:LKT196846 LAX196842:LAX196846 KRB196842:KRB196846 KHF196842:KHF196846 JXJ196842:JXJ196846 JNN196842:JNN196846 JDR196842:JDR196846 ITV196842:ITV196846 IJZ196842:IJZ196846 IAD196842:IAD196846 HQH196842:HQH196846 HGL196842:HGL196846 GWP196842:GWP196846 GMT196842:GMT196846 GCX196842:GCX196846 FTB196842:FTB196846 FJF196842:FJF196846 EZJ196842:EZJ196846 EPN196842:EPN196846 EFR196842:EFR196846 DVV196842:DVV196846 DLZ196842:DLZ196846 DCD196842:DCD196846 CSH196842:CSH196846 CIL196842:CIL196846 BYP196842:BYP196846 BOT196842:BOT196846 BEX196842:BEX196846 AVB196842:AVB196846 ALF196842:ALF196846 ABJ196842:ABJ196846 RN196842:RN196846 HR196842:HR196846 WUD131306:WUD131310 WKH131306:WKH131310 WAL131306:WAL131310 VQP131306:VQP131310 VGT131306:VGT131310 UWX131306:UWX131310 UNB131306:UNB131310 UDF131306:UDF131310 TTJ131306:TTJ131310 TJN131306:TJN131310 SZR131306:SZR131310 SPV131306:SPV131310 SFZ131306:SFZ131310 RWD131306:RWD131310 RMH131306:RMH131310 RCL131306:RCL131310 QSP131306:QSP131310 QIT131306:QIT131310 PYX131306:PYX131310 PPB131306:PPB131310 PFF131306:PFF131310 OVJ131306:OVJ131310 OLN131306:OLN131310 OBR131306:OBR131310 NRV131306:NRV131310 NHZ131306:NHZ131310 MYD131306:MYD131310 MOH131306:MOH131310 MEL131306:MEL131310 LUP131306:LUP131310 LKT131306:LKT131310 LAX131306:LAX131310 KRB131306:KRB131310 KHF131306:KHF131310 JXJ131306:JXJ131310 JNN131306:JNN131310 JDR131306:JDR131310 ITV131306:ITV131310 IJZ131306:IJZ131310 IAD131306:IAD131310 HQH131306:HQH131310 HGL131306:HGL131310 GWP131306:GWP131310 GMT131306:GMT131310 GCX131306:GCX131310 FTB131306:FTB131310 FJF131306:FJF131310 EZJ131306:EZJ131310 EPN131306:EPN131310 EFR131306:EFR131310 DVV131306:DVV131310 DLZ131306:DLZ131310 DCD131306:DCD131310 CSH131306:CSH131310 CIL131306:CIL131310 BYP131306:BYP131310 BOT131306:BOT131310 BEX131306:BEX131310 AVB131306:AVB131310 ALF131306:ALF131310 ABJ131306:ABJ131310 RN131306:RN131310 HR131306:HR131310 WUD65770:WUD65774 WKH65770:WKH65774 WAL65770:WAL65774 VQP65770:VQP65774 VGT65770:VGT65774 UWX65770:UWX65774 UNB65770:UNB65774 UDF65770:UDF65774 TTJ65770:TTJ65774 TJN65770:TJN65774 SZR65770:SZR65774 SPV65770:SPV65774 SFZ65770:SFZ65774 RWD65770:RWD65774 RMH65770:RMH65774 RCL65770:RCL65774 QSP65770:QSP65774 QIT65770:QIT65774 PYX65770:PYX65774 PPB65770:PPB65774 PFF65770:PFF65774 OVJ65770:OVJ65774 OLN65770:OLN65774 OBR65770:OBR65774 NRV65770:NRV65774 NHZ65770:NHZ65774 MYD65770:MYD65774 MOH65770:MOH65774 MEL65770:MEL65774 LUP65770:LUP65774 LKT65770:LKT65774 LAX65770:LAX65774 KRB65770:KRB65774 KHF65770:KHF65774 JXJ65770:JXJ65774 JNN65770:JNN65774 JDR65770:JDR65774 ITV65770:ITV65774 IJZ65770:IJZ65774 IAD65770:IAD65774 HQH65770:HQH65774 HGL65770:HGL65774 GWP65770:GWP65774 GMT65770:GMT65774 GCX65770:GCX65774 FTB65770:FTB65774 FJF65770:FJF65774 EZJ65770:EZJ65774 EPN65770:EPN65774 EFR65770:EFR65774 DVV65770:DVV65774 DLZ65770:DLZ65774 DCD65770:DCD65774 CSH65770:CSH65774 CIL65770:CIL65774 BYP65770:BYP65774 BOT65770:BOT65774 BEX65770:BEX65774 AVB65770:AVB65774 ALF65770:ALF65774 ABJ65770:ABJ65774 RN65770:RN65774 HR65770:HR65774 WUD982813:WUD982818 WKH982813:WKH982818 WAL982813:WAL982818 VQP982813:VQP982818 VGT982813:VGT982818 UWX982813:UWX982818 UNB982813:UNB982818 UDF982813:UDF982818 TTJ982813:TTJ982818 TJN982813:TJN982818 SZR982813:SZR982818 SPV982813:SPV982818 SFZ982813:SFZ982818 RWD982813:RWD982818 RMH982813:RMH982818 RCL982813:RCL982818 QSP982813:QSP982818 QIT982813:QIT982818 PYX982813:PYX982818 PPB982813:PPB982818 PFF982813:PFF982818 OVJ982813:OVJ982818 OLN982813:OLN982818 OBR982813:OBR982818 NRV982813:NRV982818 NHZ982813:NHZ982818 MYD982813:MYD982818 MOH982813:MOH982818 MEL982813:MEL982818 LUP982813:LUP982818 LKT982813:LKT982818 LAX982813:LAX982818 KRB982813:KRB982818 KHF982813:KHF982818 JXJ982813:JXJ982818 JNN982813:JNN982818 JDR982813:JDR982818 ITV982813:ITV982818 IJZ982813:IJZ982818 IAD982813:IAD982818 HQH982813:HQH982818 HGL982813:HGL982818 GWP982813:GWP982818 GMT982813:GMT982818 GCX982813:GCX982818 FTB982813:FTB982818 FJF982813:FJF982818 EZJ982813:EZJ982818 EPN982813:EPN982818 EFR982813:EFR982818 DVV982813:DVV982818 DLZ982813:DLZ982818 DCD982813:DCD982818 CSH982813:CSH982818 CIL982813:CIL982818 BYP982813:BYP982818 BOT982813:BOT982818 BEX982813:BEX982818 AVB982813:AVB982818 ALF982813:ALF982818 ABJ982813:ABJ982818 RN982813:RN982818 HR982813:HR982818 WUD917277:WUD917282 WKH917277:WKH917282 WAL917277:WAL917282 VQP917277:VQP917282 VGT917277:VGT917282 UWX917277:UWX917282 UNB917277:UNB917282 UDF917277:UDF917282 TTJ917277:TTJ917282 TJN917277:TJN917282 SZR917277:SZR917282 SPV917277:SPV917282 SFZ917277:SFZ917282 RWD917277:RWD917282 RMH917277:RMH917282 RCL917277:RCL917282 QSP917277:QSP917282 QIT917277:QIT917282 PYX917277:PYX917282 PPB917277:PPB917282 PFF917277:PFF917282 OVJ917277:OVJ917282 OLN917277:OLN917282 OBR917277:OBR917282 NRV917277:NRV917282 NHZ917277:NHZ917282 MYD917277:MYD917282 MOH917277:MOH917282 MEL917277:MEL917282 LUP917277:LUP917282 LKT917277:LKT917282 LAX917277:LAX917282 KRB917277:KRB917282 KHF917277:KHF917282 JXJ917277:JXJ917282 JNN917277:JNN917282 JDR917277:JDR917282 ITV917277:ITV917282 IJZ917277:IJZ917282 IAD917277:IAD917282 HQH917277:HQH917282 HGL917277:HGL917282 GWP917277:GWP917282 GMT917277:GMT917282 GCX917277:GCX917282 FTB917277:FTB917282 FJF917277:FJF917282 EZJ917277:EZJ917282 EPN917277:EPN917282 EFR917277:EFR917282 DVV917277:DVV917282 DLZ917277:DLZ917282 DCD917277:DCD917282 CSH917277:CSH917282 CIL917277:CIL917282 BYP917277:BYP917282 BOT917277:BOT917282 BEX917277:BEX917282 AVB917277:AVB917282 ALF917277:ALF917282 ABJ917277:ABJ917282 RN917277:RN917282 HR917277:HR917282 WUD851741:WUD851746 WKH851741:WKH851746 WAL851741:WAL851746 VQP851741:VQP851746 VGT851741:VGT851746 UWX851741:UWX851746 UNB851741:UNB851746 UDF851741:UDF851746 TTJ851741:TTJ851746 TJN851741:TJN851746 SZR851741:SZR851746 SPV851741:SPV851746 SFZ851741:SFZ851746 RWD851741:RWD851746 RMH851741:RMH851746 RCL851741:RCL851746 QSP851741:QSP851746 QIT851741:QIT851746 PYX851741:PYX851746 PPB851741:PPB851746 PFF851741:PFF851746 OVJ851741:OVJ851746 OLN851741:OLN851746 OBR851741:OBR851746 NRV851741:NRV851746 NHZ851741:NHZ851746 MYD851741:MYD851746 MOH851741:MOH851746 MEL851741:MEL851746 LUP851741:LUP851746 LKT851741:LKT851746 LAX851741:LAX851746 KRB851741:KRB851746 KHF851741:KHF851746 JXJ851741:JXJ851746 JNN851741:JNN851746 JDR851741:JDR851746 ITV851741:ITV851746 IJZ851741:IJZ851746 IAD851741:IAD851746 HQH851741:HQH851746 HGL851741:HGL851746 GWP851741:GWP851746 GMT851741:GMT851746 GCX851741:GCX851746 FTB851741:FTB851746 FJF851741:FJF851746 EZJ851741:EZJ851746 EPN851741:EPN851746 EFR851741:EFR851746 DVV851741:DVV851746 DLZ851741:DLZ851746 DCD851741:DCD851746 CSH851741:CSH851746 CIL851741:CIL851746 BYP851741:BYP851746 BOT851741:BOT851746 BEX851741:BEX851746 AVB851741:AVB851746 ALF851741:ALF851746 ABJ851741:ABJ851746 RN851741:RN851746 HR851741:HR851746 WUD786205:WUD786210 WKH786205:WKH786210 WAL786205:WAL786210 VQP786205:VQP786210 VGT786205:VGT786210 UWX786205:UWX786210 UNB786205:UNB786210 UDF786205:UDF786210 TTJ786205:TTJ786210 TJN786205:TJN786210 SZR786205:SZR786210 SPV786205:SPV786210 SFZ786205:SFZ786210 RWD786205:RWD786210 RMH786205:RMH786210 RCL786205:RCL786210 QSP786205:QSP786210 QIT786205:QIT786210 PYX786205:PYX786210 PPB786205:PPB786210 PFF786205:PFF786210 OVJ786205:OVJ786210 OLN786205:OLN786210 OBR786205:OBR786210 NRV786205:NRV786210 NHZ786205:NHZ786210 MYD786205:MYD786210 MOH786205:MOH786210 MEL786205:MEL786210 LUP786205:LUP786210 LKT786205:LKT786210 LAX786205:LAX786210 KRB786205:KRB786210 KHF786205:KHF786210 JXJ786205:JXJ786210 JNN786205:JNN786210 JDR786205:JDR786210 ITV786205:ITV786210 IJZ786205:IJZ786210 IAD786205:IAD786210 HQH786205:HQH786210 HGL786205:HGL786210 GWP786205:GWP786210 GMT786205:GMT786210 GCX786205:GCX786210 FTB786205:FTB786210 FJF786205:FJF786210 EZJ786205:EZJ786210 EPN786205:EPN786210 EFR786205:EFR786210 DVV786205:DVV786210 DLZ786205:DLZ786210 DCD786205:DCD786210 CSH786205:CSH786210 CIL786205:CIL786210 BYP786205:BYP786210 BOT786205:BOT786210 BEX786205:BEX786210 AVB786205:AVB786210 ALF786205:ALF786210 ABJ786205:ABJ786210 RN786205:RN786210 HR786205:HR786210 WUD720669:WUD720674 WKH720669:WKH720674 WAL720669:WAL720674 VQP720669:VQP720674 VGT720669:VGT720674 UWX720669:UWX720674 UNB720669:UNB720674 UDF720669:UDF720674 TTJ720669:TTJ720674 TJN720669:TJN720674 SZR720669:SZR720674 SPV720669:SPV720674 SFZ720669:SFZ720674 RWD720669:RWD720674 RMH720669:RMH720674 RCL720669:RCL720674 QSP720669:QSP720674 QIT720669:QIT720674 PYX720669:PYX720674 PPB720669:PPB720674 PFF720669:PFF720674 OVJ720669:OVJ720674 OLN720669:OLN720674 OBR720669:OBR720674 NRV720669:NRV720674 NHZ720669:NHZ720674 MYD720669:MYD720674 MOH720669:MOH720674 MEL720669:MEL720674 LUP720669:LUP720674 LKT720669:LKT720674 LAX720669:LAX720674 KRB720669:KRB720674 KHF720669:KHF720674 JXJ720669:JXJ720674 JNN720669:JNN720674 JDR720669:JDR720674 ITV720669:ITV720674 IJZ720669:IJZ720674 IAD720669:IAD720674 HQH720669:HQH720674 HGL720669:HGL720674 GWP720669:GWP720674 GMT720669:GMT720674 GCX720669:GCX720674 FTB720669:FTB720674 FJF720669:FJF720674 EZJ720669:EZJ720674 EPN720669:EPN720674 EFR720669:EFR720674 DVV720669:DVV720674 DLZ720669:DLZ720674 DCD720669:DCD720674 CSH720669:CSH720674 CIL720669:CIL720674 BYP720669:BYP720674 BOT720669:BOT720674 BEX720669:BEX720674 AVB720669:AVB720674 ALF720669:ALF720674 ABJ720669:ABJ720674 RN720669:RN720674 HR720669:HR720674 WUD655133:WUD655138 WKH655133:WKH655138 WAL655133:WAL655138 VQP655133:VQP655138 VGT655133:VGT655138 UWX655133:UWX655138 UNB655133:UNB655138 UDF655133:UDF655138 TTJ655133:TTJ655138 TJN655133:TJN655138 SZR655133:SZR655138 SPV655133:SPV655138 SFZ655133:SFZ655138 RWD655133:RWD655138 RMH655133:RMH655138 RCL655133:RCL655138 QSP655133:QSP655138 QIT655133:QIT655138 PYX655133:PYX655138 PPB655133:PPB655138 PFF655133:PFF655138 OVJ655133:OVJ655138 OLN655133:OLN655138 OBR655133:OBR655138 NRV655133:NRV655138 NHZ655133:NHZ655138 MYD655133:MYD655138 MOH655133:MOH655138 MEL655133:MEL655138 LUP655133:LUP655138 LKT655133:LKT655138 LAX655133:LAX655138 KRB655133:KRB655138 KHF655133:KHF655138 JXJ655133:JXJ655138 JNN655133:JNN655138 JDR655133:JDR655138 ITV655133:ITV655138 IJZ655133:IJZ655138 IAD655133:IAD655138 HQH655133:HQH655138 HGL655133:HGL655138 GWP655133:GWP655138 GMT655133:GMT655138 GCX655133:GCX655138 FTB655133:FTB655138 FJF655133:FJF655138 EZJ655133:EZJ655138 EPN655133:EPN655138 EFR655133:EFR655138 DVV655133:DVV655138 DLZ655133:DLZ655138 DCD655133:DCD655138 CSH655133:CSH655138 CIL655133:CIL655138 BYP655133:BYP655138 BOT655133:BOT655138 BEX655133:BEX655138 AVB655133:AVB655138 ALF655133:ALF655138 ABJ655133:ABJ655138 RN655133:RN655138 HR655133:HR655138 WUD589597:WUD589602 WKH589597:WKH589602 WAL589597:WAL589602 VQP589597:VQP589602 VGT589597:VGT589602 UWX589597:UWX589602 UNB589597:UNB589602 UDF589597:UDF589602 TTJ589597:TTJ589602 TJN589597:TJN589602 SZR589597:SZR589602 SPV589597:SPV589602 SFZ589597:SFZ589602 RWD589597:RWD589602 RMH589597:RMH589602 RCL589597:RCL589602 QSP589597:QSP589602 QIT589597:QIT589602 PYX589597:PYX589602 PPB589597:PPB589602 PFF589597:PFF589602 OVJ589597:OVJ589602 OLN589597:OLN589602 OBR589597:OBR589602 NRV589597:NRV589602 NHZ589597:NHZ589602 MYD589597:MYD589602 MOH589597:MOH589602 MEL589597:MEL589602 LUP589597:LUP589602 LKT589597:LKT589602 LAX589597:LAX589602 KRB589597:KRB589602 KHF589597:KHF589602 JXJ589597:JXJ589602 JNN589597:JNN589602 JDR589597:JDR589602 ITV589597:ITV589602 IJZ589597:IJZ589602 IAD589597:IAD589602 HQH589597:HQH589602 HGL589597:HGL589602 GWP589597:GWP589602 GMT589597:GMT589602 GCX589597:GCX589602 FTB589597:FTB589602 FJF589597:FJF589602 EZJ589597:EZJ589602 EPN589597:EPN589602 EFR589597:EFR589602 DVV589597:DVV589602 DLZ589597:DLZ589602 DCD589597:DCD589602 CSH589597:CSH589602 CIL589597:CIL589602 BYP589597:BYP589602 BOT589597:BOT589602 BEX589597:BEX589602 AVB589597:AVB589602 ALF589597:ALF589602 ABJ589597:ABJ589602 RN589597:RN589602 HR589597:HR589602 WUD524061:WUD524066 WKH524061:WKH524066 WAL524061:WAL524066 VQP524061:VQP524066 VGT524061:VGT524066 UWX524061:UWX524066 UNB524061:UNB524066 UDF524061:UDF524066 TTJ524061:TTJ524066 TJN524061:TJN524066 SZR524061:SZR524066 SPV524061:SPV524066 SFZ524061:SFZ524066 RWD524061:RWD524066 RMH524061:RMH524066 RCL524061:RCL524066 QSP524061:QSP524066 QIT524061:QIT524066 PYX524061:PYX524066 PPB524061:PPB524066 PFF524061:PFF524066 OVJ524061:OVJ524066 OLN524061:OLN524066 OBR524061:OBR524066 NRV524061:NRV524066 NHZ524061:NHZ524066 MYD524061:MYD524066 MOH524061:MOH524066 MEL524061:MEL524066 LUP524061:LUP524066 LKT524061:LKT524066 LAX524061:LAX524066 KRB524061:KRB524066 KHF524061:KHF524066 JXJ524061:JXJ524066 JNN524061:JNN524066 JDR524061:JDR524066 ITV524061:ITV524066 IJZ524061:IJZ524066 IAD524061:IAD524066 HQH524061:HQH524066 HGL524061:HGL524066 GWP524061:GWP524066 GMT524061:GMT524066 GCX524061:GCX524066 FTB524061:FTB524066 FJF524061:FJF524066 EZJ524061:EZJ524066 EPN524061:EPN524066 EFR524061:EFR524066 DVV524061:DVV524066 DLZ524061:DLZ524066 DCD524061:DCD524066 CSH524061:CSH524066 CIL524061:CIL524066 BYP524061:BYP524066 BOT524061:BOT524066 BEX524061:BEX524066 AVB524061:AVB524066 ALF524061:ALF524066 ABJ524061:ABJ524066 RN524061:RN524066 HR524061:HR524066 WUD458525:WUD458530 WKH458525:WKH458530 WAL458525:WAL458530 VQP458525:VQP458530 VGT458525:VGT458530 UWX458525:UWX458530 UNB458525:UNB458530 UDF458525:UDF458530 TTJ458525:TTJ458530 TJN458525:TJN458530 SZR458525:SZR458530 SPV458525:SPV458530 SFZ458525:SFZ458530 RWD458525:RWD458530 RMH458525:RMH458530 RCL458525:RCL458530 QSP458525:QSP458530 QIT458525:QIT458530 PYX458525:PYX458530 PPB458525:PPB458530 PFF458525:PFF458530 OVJ458525:OVJ458530 OLN458525:OLN458530 OBR458525:OBR458530 NRV458525:NRV458530 NHZ458525:NHZ458530 MYD458525:MYD458530 MOH458525:MOH458530 MEL458525:MEL458530 LUP458525:LUP458530 LKT458525:LKT458530 LAX458525:LAX458530 KRB458525:KRB458530 KHF458525:KHF458530 JXJ458525:JXJ458530 JNN458525:JNN458530 JDR458525:JDR458530 ITV458525:ITV458530 IJZ458525:IJZ458530 IAD458525:IAD458530 HQH458525:HQH458530 HGL458525:HGL458530 GWP458525:GWP458530 GMT458525:GMT458530 GCX458525:GCX458530 FTB458525:FTB458530 FJF458525:FJF458530 EZJ458525:EZJ458530 EPN458525:EPN458530 EFR458525:EFR458530 DVV458525:DVV458530 DLZ458525:DLZ458530 DCD458525:DCD458530 CSH458525:CSH458530 CIL458525:CIL458530 BYP458525:BYP458530 BOT458525:BOT458530 BEX458525:BEX458530 AVB458525:AVB458530 ALF458525:ALF458530 ABJ458525:ABJ458530 RN458525:RN458530 HR458525:HR458530 WUD392989:WUD392994 WKH392989:WKH392994 WAL392989:WAL392994 VQP392989:VQP392994 VGT392989:VGT392994 UWX392989:UWX392994 UNB392989:UNB392994 UDF392989:UDF392994 TTJ392989:TTJ392994 TJN392989:TJN392994 SZR392989:SZR392994 SPV392989:SPV392994 SFZ392989:SFZ392994 RWD392989:RWD392994 RMH392989:RMH392994 RCL392989:RCL392994 QSP392989:QSP392994 QIT392989:QIT392994 PYX392989:PYX392994 PPB392989:PPB392994 PFF392989:PFF392994 OVJ392989:OVJ392994 OLN392989:OLN392994 OBR392989:OBR392994 NRV392989:NRV392994 NHZ392989:NHZ392994 MYD392989:MYD392994 MOH392989:MOH392994 MEL392989:MEL392994 LUP392989:LUP392994 LKT392989:LKT392994 LAX392989:LAX392994 KRB392989:KRB392994 KHF392989:KHF392994 JXJ392989:JXJ392994 JNN392989:JNN392994 JDR392989:JDR392994 ITV392989:ITV392994 IJZ392989:IJZ392994 IAD392989:IAD392994 HQH392989:HQH392994 HGL392989:HGL392994 GWP392989:GWP392994 GMT392989:GMT392994 GCX392989:GCX392994 FTB392989:FTB392994 FJF392989:FJF392994 EZJ392989:EZJ392994 EPN392989:EPN392994 EFR392989:EFR392994 DVV392989:DVV392994 DLZ392989:DLZ392994 DCD392989:DCD392994 CSH392989:CSH392994 CIL392989:CIL392994 BYP392989:BYP392994 BOT392989:BOT392994 BEX392989:BEX392994 AVB392989:AVB392994 ALF392989:ALF392994 ABJ392989:ABJ392994 RN392989:RN392994 HR392989:HR392994 WUD327453:WUD327458 WKH327453:WKH327458 WAL327453:WAL327458 VQP327453:VQP327458 VGT327453:VGT327458 UWX327453:UWX327458 UNB327453:UNB327458 UDF327453:UDF327458 TTJ327453:TTJ327458 TJN327453:TJN327458 SZR327453:SZR327458 SPV327453:SPV327458 SFZ327453:SFZ327458 RWD327453:RWD327458 RMH327453:RMH327458 RCL327453:RCL327458 QSP327453:QSP327458 QIT327453:QIT327458 PYX327453:PYX327458 PPB327453:PPB327458 PFF327453:PFF327458 OVJ327453:OVJ327458 OLN327453:OLN327458 OBR327453:OBR327458 NRV327453:NRV327458 NHZ327453:NHZ327458 MYD327453:MYD327458 MOH327453:MOH327458 MEL327453:MEL327458 LUP327453:LUP327458 LKT327453:LKT327458 LAX327453:LAX327458 KRB327453:KRB327458 KHF327453:KHF327458 JXJ327453:JXJ327458 JNN327453:JNN327458 JDR327453:JDR327458 ITV327453:ITV327458 IJZ327453:IJZ327458 IAD327453:IAD327458 HQH327453:HQH327458 HGL327453:HGL327458 GWP327453:GWP327458 GMT327453:GMT327458 GCX327453:GCX327458 FTB327453:FTB327458 FJF327453:FJF327458 EZJ327453:EZJ327458 EPN327453:EPN327458 EFR327453:EFR327458 DVV327453:DVV327458 DLZ327453:DLZ327458 DCD327453:DCD327458 CSH327453:CSH327458 CIL327453:CIL327458 BYP327453:BYP327458 BOT327453:BOT327458 BEX327453:BEX327458 AVB327453:AVB327458 ALF327453:ALF327458 ABJ327453:ABJ327458 RN327453:RN327458 HR327453:HR327458 WUD261917:WUD261922 WKH261917:WKH261922 WAL261917:WAL261922 VQP261917:VQP261922 VGT261917:VGT261922 UWX261917:UWX261922 UNB261917:UNB261922 UDF261917:UDF261922 TTJ261917:TTJ261922 TJN261917:TJN261922 SZR261917:SZR261922 SPV261917:SPV261922 SFZ261917:SFZ261922 RWD261917:RWD261922 RMH261917:RMH261922 RCL261917:RCL261922 QSP261917:QSP261922 QIT261917:QIT261922 PYX261917:PYX261922 PPB261917:PPB261922 PFF261917:PFF261922 OVJ261917:OVJ261922 OLN261917:OLN261922 OBR261917:OBR261922 NRV261917:NRV261922 NHZ261917:NHZ261922 MYD261917:MYD261922 MOH261917:MOH261922 MEL261917:MEL261922 LUP261917:LUP261922 LKT261917:LKT261922 LAX261917:LAX261922 KRB261917:KRB261922 KHF261917:KHF261922 JXJ261917:JXJ261922 JNN261917:JNN261922 JDR261917:JDR261922 ITV261917:ITV261922 IJZ261917:IJZ261922 IAD261917:IAD261922 HQH261917:HQH261922 HGL261917:HGL261922 GWP261917:GWP261922 GMT261917:GMT261922 GCX261917:GCX261922 FTB261917:FTB261922 FJF261917:FJF261922 EZJ261917:EZJ261922 EPN261917:EPN261922 EFR261917:EFR261922 DVV261917:DVV261922 DLZ261917:DLZ261922 DCD261917:DCD261922 CSH261917:CSH261922 CIL261917:CIL261922 BYP261917:BYP261922 BOT261917:BOT261922 BEX261917:BEX261922 AVB261917:AVB261922 ALF261917:ALF261922 ABJ261917:ABJ261922 RN261917:RN261922 HR261917:HR261922 WUD196381:WUD196386 WKH196381:WKH196386 WAL196381:WAL196386 VQP196381:VQP196386 VGT196381:VGT196386 UWX196381:UWX196386 UNB196381:UNB196386 UDF196381:UDF196386 TTJ196381:TTJ196386 TJN196381:TJN196386 SZR196381:SZR196386 SPV196381:SPV196386 SFZ196381:SFZ196386 RWD196381:RWD196386 RMH196381:RMH196386 RCL196381:RCL196386 QSP196381:QSP196386 QIT196381:QIT196386 PYX196381:PYX196386 PPB196381:PPB196386 PFF196381:PFF196386 OVJ196381:OVJ196386 OLN196381:OLN196386 OBR196381:OBR196386 NRV196381:NRV196386 NHZ196381:NHZ196386 MYD196381:MYD196386 MOH196381:MOH196386 MEL196381:MEL196386 LUP196381:LUP196386 LKT196381:LKT196386 LAX196381:LAX196386 KRB196381:KRB196386 KHF196381:KHF196386 JXJ196381:JXJ196386 JNN196381:JNN196386 JDR196381:JDR196386 ITV196381:ITV196386 IJZ196381:IJZ196386 IAD196381:IAD196386 HQH196381:HQH196386 HGL196381:HGL196386 GWP196381:GWP196386 GMT196381:GMT196386 GCX196381:GCX196386 FTB196381:FTB196386 FJF196381:FJF196386 EZJ196381:EZJ196386 EPN196381:EPN196386 EFR196381:EFR196386 DVV196381:DVV196386 DLZ196381:DLZ196386 DCD196381:DCD196386 CSH196381:CSH196386 CIL196381:CIL196386 BYP196381:BYP196386 BOT196381:BOT196386 BEX196381:BEX196386 AVB196381:AVB196386 ALF196381:ALF196386 ABJ196381:ABJ196386 RN196381:RN196386 HR196381:HR196386 WUD130845:WUD130850 WKH130845:WKH130850 WAL130845:WAL130850 VQP130845:VQP130850 VGT130845:VGT130850 UWX130845:UWX130850 UNB130845:UNB130850 UDF130845:UDF130850 TTJ130845:TTJ130850 TJN130845:TJN130850 SZR130845:SZR130850 SPV130845:SPV130850 SFZ130845:SFZ130850 RWD130845:RWD130850 RMH130845:RMH130850 RCL130845:RCL130850 QSP130845:QSP130850 QIT130845:QIT130850 PYX130845:PYX130850 PPB130845:PPB130850 PFF130845:PFF130850 OVJ130845:OVJ130850 OLN130845:OLN130850 OBR130845:OBR130850 NRV130845:NRV130850 NHZ130845:NHZ130850 MYD130845:MYD130850 MOH130845:MOH130850 MEL130845:MEL130850 LUP130845:LUP130850 LKT130845:LKT130850 LAX130845:LAX130850 KRB130845:KRB130850 KHF130845:KHF130850 JXJ130845:JXJ130850 JNN130845:JNN130850 JDR130845:JDR130850 ITV130845:ITV130850 IJZ130845:IJZ130850 IAD130845:IAD130850 HQH130845:HQH130850 HGL130845:HGL130850 GWP130845:GWP130850 GMT130845:GMT130850 GCX130845:GCX130850 FTB130845:FTB130850 FJF130845:FJF130850 EZJ130845:EZJ130850 EPN130845:EPN130850 EFR130845:EFR130850 DVV130845:DVV130850 DLZ130845:DLZ130850 DCD130845:DCD130850 CSH130845:CSH130850 CIL130845:CIL130850 BYP130845:BYP130850 BOT130845:BOT130850 BEX130845:BEX130850 AVB130845:AVB130850 ALF130845:ALF130850 ABJ130845:ABJ130850 RN130845:RN130850 HR130845:HR130850 WUD65309:WUD65314 WKH65309:WKH65314 WAL65309:WAL65314 VQP65309:VQP65314 VGT65309:VGT65314 UWX65309:UWX65314 UNB65309:UNB65314 UDF65309:UDF65314 TTJ65309:TTJ65314 TJN65309:TJN65314 SZR65309:SZR65314 SPV65309:SPV65314 SFZ65309:SFZ65314 RWD65309:RWD65314 RMH65309:RMH65314 RCL65309:RCL65314 QSP65309:QSP65314 QIT65309:QIT65314 PYX65309:PYX65314 PPB65309:PPB65314 PFF65309:PFF65314 OVJ65309:OVJ65314 OLN65309:OLN65314 OBR65309:OBR65314 NRV65309:NRV65314 NHZ65309:NHZ65314 MYD65309:MYD65314 MOH65309:MOH65314 MEL65309:MEL65314 LUP65309:LUP65314 LKT65309:LKT65314 LAX65309:LAX65314 KRB65309:KRB65314 KHF65309:KHF65314 JXJ65309:JXJ65314 JNN65309:JNN65314 JDR65309:JDR65314 ITV65309:ITV65314 IJZ65309:IJZ65314 IAD65309:IAD65314 HQH65309:HQH65314 HGL65309:HGL65314 GWP65309:GWP65314 GMT65309:GMT65314 GCX65309:GCX65314 FTB65309:FTB65314 FJF65309:FJF65314 EZJ65309:EZJ65314 EPN65309:EPN65314 EFR65309:EFR65314 DVV65309:DVV65314 DLZ65309:DLZ65314 DCD65309:DCD65314 CSH65309:CSH65314 CIL65309:CIL65314 BYP65309:BYP65314 BOT65309:BOT65314 BEX65309:BEX65314 AVB65309:AVB65314 ALF65309:ALF65314 ABJ65309:ABJ65314 RN65309:RN65314 HR65309:HR65314 WUD982764 WKH982764 WAL982764 VQP982764 VGT982764 UWX982764 UNB982764 UDF982764 TTJ982764 TJN982764 SZR982764 SPV982764 SFZ982764 RWD982764 RMH982764 RCL982764 QSP982764 QIT982764 PYX982764 PPB982764 PFF982764 OVJ982764 OLN982764 OBR982764 NRV982764 NHZ982764 MYD982764 MOH982764 MEL982764 LUP982764 LKT982764 LAX982764 KRB982764 KHF982764 JXJ982764 JNN982764 JDR982764 ITV982764 IJZ982764 IAD982764 HQH982764 HGL982764 GWP982764 GMT982764 GCX982764 FTB982764 FJF982764 EZJ982764 EPN982764 EFR982764 DVV982764 DLZ982764 DCD982764 CSH982764 CIL982764 BYP982764 BOT982764 BEX982764 AVB982764 ALF982764 ABJ982764 RN982764 HR982764 WUD917228 WKH917228 WAL917228 VQP917228 VGT917228 UWX917228 UNB917228 UDF917228 TTJ917228 TJN917228 SZR917228 SPV917228 SFZ917228 RWD917228 RMH917228 RCL917228 QSP917228 QIT917228 PYX917228 PPB917228 PFF917228 OVJ917228 OLN917228 OBR917228 NRV917228 NHZ917228 MYD917228 MOH917228 MEL917228 LUP917228 LKT917228 LAX917228 KRB917228 KHF917228 JXJ917228 JNN917228 JDR917228 ITV917228 IJZ917228 IAD917228 HQH917228 HGL917228 GWP917228 GMT917228 GCX917228 FTB917228 FJF917228 EZJ917228 EPN917228 EFR917228 DVV917228 DLZ917228 DCD917228 CSH917228 CIL917228 BYP917228 BOT917228 BEX917228 AVB917228 ALF917228 ABJ917228 RN917228 HR917228 WUD851692 WKH851692 WAL851692 VQP851692 VGT851692 UWX851692 UNB851692 UDF851692 TTJ851692 TJN851692 SZR851692 SPV851692 SFZ851692 RWD851692 RMH851692 RCL851692 QSP851692 QIT851692 PYX851692 PPB851692 PFF851692 OVJ851692 OLN851692 OBR851692 NRV851692 NHZ851692 MYD851692 MOH851692 MEL851692 LUP851692 LKT851692 LAX851692 KRB851692 KHF851692 JXJ851692 JNN851692 JDR851692 ITV851692 IJZ851692 IAD851692 HQH851692 HGL851692 GWP851692 GMT851692 GCX851692 FTB851692 FJF851692 EZJ851692 EPN851692 EFR851692 DVV851692 DLZ851692 DCD851692 CSH851692 CIL851692 BYP851692 BOT851692 BEX851692 AVB851692 ALF851692 ABJ851692 RN851692 HR851692 WUD786156 WKH786156 WAL786156 VQP786156 VGT786156 UWX786156 UNB786156 UDF786156 TTJ786156 TJN786156 SZR786156 SPV786156 SFZ786156 RWD786156 RMH786156 RCL786156 QSP786156 QIT786156 PYX786156 PPB786156 PFF786156 OVJ786156 OLN786156 OBR786156 NRV786156 NHZ786156 MYD786156 MOH786156 MEL786156 LUP786156 LKT786156 LAX786156 KRB786156 KHF786156 JXJ786156 JNN786156 JDR786156 ITV786156 IJZ786156 IAD786156 HQH786156 HGL786156 GWP786156 GMT786156 GCX786156 FTB786156 FJF786156 EZJ786156 EPN786156 EFR786156 DVV786156 DLZ786156 DCD786156 CSH786156 CIL786156 BYP786156 BOT786156 BEX786156 AVB786156 ALF786156 ABJ786156 RN786156 HR786156 WUD720620 WKH720620 WAL720620 VQP720620 VGT720620 UWX720620 UNB720620 UDF720620 TTJ720620 TJN720620 SZR720620 SPV720620 SFZ720620 RWD720620 RMH720620 RCL720620 QSP720620 QIT720620 PYX720620 PPB720620 PFF720620 OVJ720620 OLN720620 OBR720620 NRV720620 NHZ720620 MYD720620 MOH720620 MEL720620 LUP720620 LKT720620 LAX720620 KRB720620 KHF720620 JXJ720620 JNN720620 JDR720620 ITV720620 IJZ720620 IAD720620 HQH720620 HGL720620 GWP720620 GMT720620 GCX720620 FTB720620 FJF720620 EZJ720620 EPN720620 EFR720620 DVV720620 DLZ720620 DCD720620 CSH720620 CIL720620 BYP720620 BOT720620 BEX720620 AVB720620 ALF720620 ABJ720620 RN720620 HR720620 WUD655084 WKH655084 WAL655084 VQP655084 VGT655084 UWX655084 UNB655084 UDF655084 TTJ655084 TJN655084 SZR655084 SPV655084 SFZ655084 RWD655084 RMH655084 RCL655084 QSP655084 QIT655084 PYX655084 PPB655084 PFF655084 OVJ655084 OLN655084 OBR655084 NRV655084 NHZ655084 MYD655084 MOH655084 MEL655084 LUP655084 LKT655084 LAX655084 KRB655084 KHF655084 JXJ655084 JNN655084 JDR655084 ITV655084 IJZ655084 IAD655084 HQH655084 HGL655084 GWP655084 GMT655084 GCX655084 FTB655084 FJF655084 EZJ655084 EPN655084 EFR655084 DVV655084 DLZ655084 DCD655084 CSH655084 CIL655084 BYP655084 BOT655084 BEX655084 AVB655084 ALF655084 ABJ655084 RN655084 HR655084 WUD589548 WKH589548 WAL589548 VQP589548 VGT589548 UWX589548 UNB589548 UDF589548 TTJ589548 TJN589548 SZR589548 SPV589548 SFZ589548 RWD589548 RMH589548 RCL589548 QSP589548 QIT589548 PYX589548 PPB589548 PFF589548 OVJ589548 OLN589548 OBR589548 NRV589548 NHZ589548 MYD589548 MOH589548 MEL589548 LUP589548 LKT589548 LAX589548 KRB589548 KHF589548 JXJ589548 JNN589548 JDR589548 ITV589548 IJZ589548 IAD589548 HQH589548 HGL589548 GWP589548 GMT589548 GCX589548 FTB589548 FJF589548 EZJ589548 EPN589548 EFR589548 DVV589548 DLZ589548 DCD589548 CSH589548 CIL589548 BYP589548 BOT589548 BEX589548 AVB589548 ALF589548 ABJ589548 RN589548 HR589548 WUD524012 WKH524012 WAL524012 VQP524012 VGT524012 UWX524012 UNB524012 UDF524012 TTJ524012 TJN524012 SZR524012 SPV524012 SFZ524012 RWD524012 RMH524012 RCL524012 QSP524012 QIT524012 PYX524012 PPB524012 PFF524012 OVJ524012 OLN524012 OBR524012 NRV524012 NHZ524012 MYD524012 MOH524012 MEL524012 LUP524012 LKT524012 LAX524012 KRB524012 KHF524012 JXJ524012 JNN524012 JDR524012 ITV524012 IJZ524012 IAD524012 HQH524012 HGL524012 GWP524012 GMT524012 GCX524012 FTB524012 FJF524012 EZJ524012 EPN524012 EFR524012 DVV524012 DLZ524012 DCD524012 CSH524012 CIL524012 BYP524012 BOT524012 BEX524012 AVB524012 ALF524012 ABJ524012 RN524012 HR524012 WUD458476 WKH458476 WAL458476 VQP458476 VGT458476 UWX458476 UNB458476 UDF458476 TTJ458476 TJN458476 SZR458476 SPV458476 SFZ458476 RWD458476 RMH458476 RCL458476 QSP458476 QIT458476 PYX458476 PPB458476 PFF458476 OVJ458476 OLN458476 OBR458476 NRV458476 NHZ458476 MYD458476 MOH458476 MEL458476 LUP458476 LKT458476 LAX458476 KRB458476 KHF458476 JXJ458476 JNN458476 JDR458476 ITV458476 IJZ458476 IAD458476 HQH458476 HGL458476 GWP458476 GMT458476 GCX458476 FTB458476 FJF458476 EZJ458476 EPN458476 EFR458476 DVV458476 DLZ458476 DCD458476 CSH458476 CIL458476 BYP458476 BOT458476 BEX458476 AVB458476 ALF458476 ABJ458476 RN458476 HR458476 WUD392940 WKH392940 WAL392940 VQP392940 VGT392940 UWX392940 UNB392940 UDF392940 TTJ392940 TJN392940 SZR392940 SPV392940 SFZ392940 RWD392940 RMH392940 RCL392940 QSP392940 QIT392940 PYX392940 PPB392940 PFF392940 OVJ392940 OLN392940 OBR392940 NRV392940 NHZ392940 MYD392940 MOH392940 MEL392940 LUP392940 LKT392940 LAX392940 KRB392940 KHF392940 JXJ392940 JNN392940 JDR392940 ITV392940 IJZ392940 IAD392940 HQH392940 HGL392940 GWP392940 GMT392940 GCX392940 FTB392940 FJF392940 EZJ392940 EPN392940 EFR392940 DVV392940 DLZ392940 DCD392940 CSH392940 CIL392940 BYP392940 BOT392940 BEX392940 AVB392940 ALF392940 ABJ392940 RN392940 HR392940 WUD327404 WKH327404 WAL327404 VQP327404 VGT327404 UWX327404 UNB327404 UDF327404 TTJ327404 TJN327404 SZR327404 SPV327404 SFZ327404 RWD327404 RMH327404 RCL327404 QSP327404 QIT327404 PYX327404 PPB327404 PFF327404 OVJ327404 OLN327404 OBR327404 NRV327404 NHZ327404 MYD327404 MOH327404 MEL327404 LUP327404 LKT327404 LAX327404 KRB327404 KHF327404 JXJ327404 JNN327404 JDR327404 ITV327404 IJZ327404 IAD327404 HQH327404 HGL327404 GWP327404 GMT327404 GCX327404 FTB327404 FJF327404 EZJ327404 EPN327404 EFR327404 DVV327404 DLZ327404 DCD327404 CSH327404 CIL327404 BYP327404 BOT327404 BEX327404 AVB327404 ALF327404 ABJ327404 RN327404 HR327404 WUD261868 WKH261868 WAL261868 VQP261868 VGT261868 UWX261868 UNB261868 UDF261868 TTJ261868 TJN261868 SZR261868 SPV261868 SFZ261868 RWD261868 RMH261868 RCL261868 QSP261868 QIT261868 PYX261868 PPB261868 PFF261868 OVJ261868 OLN261868 OBR261868 NRV261868 NHZ261868 MYD261868 MOH261868 MEL261868 LUP261868 LKT261868 LAX261868 KRB261868 KHF261868 JXJ261868 JNN261868 JDR261868 ITV261868 IJZ261868 IAD261868 HQH261868 HGL261868 GWP261868 GMT261868 GCX261868 FTB261868 FJF261868 EZJ261868 EPN261868 EFR261868 DVV261868 DLZ261868 DCD261868 CSH261868 CIL261868 BYP261868 BOT261868 BEX261868 AVB261868 ALF261868 ABJ261868 RN261868 HR261868 WUD196332 WKH196332 WAL196332 VQP196332 VGT196332 UWX196332 UNB196332 UDF196332 TTJ196332 TJN196332 SZR196332 SPV196332 SFZ196332 RWD196332 RMH196332 RCL196332 QSP196332 QIT196332 PYX196332 PPB196332 PFF196332 OVJ196332 OLN196332 OBR196332 NRV196332 NHZ196332 MYD196332 MOH196332 MEL196332 LUP196332 LKT196332 LAX196332 KRB196332 KHF196332 JXJ196332 JNN196332 JDR196332 ITV196332 IJZ196332 IAD196332 HQH196332 HGL196332 GWP196332 GMT196332 GCX196332 FTB196332 FJF196332 EZJ196332 EPN196332 EFR196332 DVV196332 DLZ196332 DCD196332 CSH196332 CIL196332 BYP196332 BOT196332 BEX196332 AVB196332 ALF196332 ABJ196332 RN196332 HR196332 WUD130796 WKH130796 WAL130796 VQP130796 VGT130796 UWX130796 UNB130796 UDF130796 TTJ130796 TJN130796 SZR130796 SPV130796 SFZ130796 RWD130796 RMH130796 RCL130796 QSP130796 QIT130796 PYX130796 PPB130796 PFF130796 OVJ130796 OLN130796 OBR130796 NRV130796 NHZ130796 MYD130796 MOH130796 MEL130796 LUP130796 LKT130796 LAX130796 KRB130796 KHF130796 JXJ130796 JNN130796 JDR130796 ITV130796 IJZ130796 IAD130796 HQH130796 HGL130796 GWP130796 GMT130796 GCX130796 FTB130796 FJF130796 EZJ130796 EPN130796 EFR130796 DVV130796 DLZ130796 DCD130796 CSH130796 CIL130796 BYP130796 BOT130796 BEX130796 AVB130796 ALF130796 ABJ130796 RN130796 HR130796 WUD65260 WKH65260 WAL65260 VQP65260 VGT65260 UWX65260 UNB65260 UDF65260 TTJ65260 TJN65260 SZR65260 SPV65260 SFZ65260 RWD65260 RMH65260 RCL65260 QSP65260 QIT65260 PYX65260 PPB65260 PFF65260 OVJ65260 OLN65260 OBR65260 NRV65260 NHZ65260 MYD65260 MOH65260 MEL65260 LUP65260 LKT65260 LAX65260 KRB65260 KHF65260 JXJ65260 JNN65260 JDR65260 ITV65260 IJZ65260 IAD65260 HQH65260 HGL65260 GWP65260 GMT65260 GCX65260 FTB65260 FJF65260 EZJ65260 EPN65260 EFR65260 DVV65260 DLZ65260 DCD65260 CSH65260 CIL65260 BYP65260 BOT65260 BEX65260 AVB65260 ALF65260 ABJ65260 RN65260 HR65260 WUD982902:WUD982903 WKH982902:WKH982903 WAL982902:WAL982903 VQP982902:VQP982903 VGT982902:VGT982903 UWX982902:UWX982903 UNB982902:UNB982903 UDF982902:UDF982903 TTJ982902:TTJ982903 TJN982902:TJN982903 SZR982902:SZR982903 SPV982902:SPV982903 SFZ982902:SFZ982903 RWD982902:RWD982903 RMH982902:RMH982903 RCL982902:RCL982903 QSP982902:QSP982903 QIT982902:QIT982903 PYX982902:PYX982903 PPB982902:PPB982903 PFF982902:PFF982903 OVJ982902:OVJ982903 OLN982902:OLN982903 OBR982902:OBR982903 NRV982902:NRV982903 NHZ982902:NHZ982903 MYD982902:MYD982903 MOH982902:MOH982903 MEL982902:MEL982903 LUP982902:LUP982903 LKT982902:LKT982903 LAX982902:LAX982903 KRB982902:KRB982903 KHF982902:KHF982903 JXJ982902:JXJ982903 JNN982902:JNN982903 JDR982902:JDR982903 ITV982902:ITV982903 IJZ982902:IJZ982903 IAD982902:IAD982903 HQH982902:HQH982903 HGL982902:HGL982903 GWP982902:GWP982903 GMT982902:GMT982903 GCX982902:GCX982903 FTB982902:FTB982903 FJF982902:FJF982903 EZJ982902:EZJ982903 EPN982902:EPN982903 EFR982902:EFR982903 DVV982902:DVV982903 DLZ982902:DLZ982903 DCD982902:DCD982903 CSH982902:CSH982903 CIL982902:CIL982903 BYP982902:BYP982903 BOT982902:BOT982903 BEX982902:BEX982903 AVB982902:AVB982903 ALF982902:ALF982903 ABJ982902:ABJ982903 RN982902:RN982903 HR982902:HR982903 WUD917366:WUD917367 WKH917366:WKH917367 WAL917366:WAL917367 VQP917366:VQP917367 VGT917366:VGT917367 UWX917366:UWX917367 UNB917366:UNB917367 UDF917366:UDF917367 TTJ917366:TTJ917367 TJN917366:TJN917367 SZR917366:SZR917367 SPV917366:SPV917367 SFZ917366:SFZ917367 RWD917366:RWD917367 RMH917366:RMH917367 RCL917366:RCL917367 QSP917366:QSP917367 QIT917366:QIT917367 PYX917366:PYX917367 PPB917366:PPB917367 PFF917366:PFF917367 OVJ917366:OVJ917367 OLN917366:OLN917367 OBR917366:OBR917367 NRV917366:NRV917367 NHZ917366:NHZ917367 MYD917366:MYD917367 MOH917366:MOH917367 MEL917366:MEL917367 LUP917366:LUP917367 LKT917366:LKT917367 LAX917366:LAX917367 KRB917366:KRB917367 KHF917366:KHF917367 JXJ917366:JXJ917367 JNN917366:JNN917367 JDR917366:JDR917367 ITV917366:ITV917367 IJZ917366:IJZ917367 IAD917366:IAD917367 HQH917366:HQH917367 HGL917366:HGL917367 GWP917366:GWP917367 GMT917366:GMT917367 GCX917366:GCX917367 FTB917366:FTB917367 FJF917366:FJF917367 EZJ917366:EZJ917367 EPN917366:EPN917367 EFR917366:EFR917367 DVV917366:DVV917367 DLZ917366:DLZ917367 DCD917366:DCD917367 CSH917366:CSH917367 CIL917366:CIL917367 BYP917366:BYP917367 BOT917366:BOT917367 BEX917366:BEX917367 AVB917366:AVB917367 ALF917366:ALF917367 ABJ917366:ABJ917367 RN917366:RN917367 HR917366:HR917367 WUD851830:WUD851831 WKH851830:WKH851831 WAL851830:WAL851831 VQP851830:VQP851831 VGT851830:VGT851831 UWX851830:UWX851831 UNB851830:UNB851831 UDF851830:UDF851831 TTJ851830:TTJ851831 TJN851830:TJN851831 SZR851830:SZR851831 SPV851830:SPV851831 SFZ851830:SFZ851831 RWD851830:RWD851831 RMH851830:RMH851831 RCL851830:RCL851831 QSP851830:QSP851831 QIT851830:QIT851831 PYX851830:PYX851831 PPB851830:PPB851831 PFF851830:PFF851831 OVJ851830:OVJ851831 OLN851830:OLN851831 OBR851830:OBR851831 NRV851830:NRV851831 NHZ851830:NHZ851831 MYD851830:MYD851831 MOH851830:MOH851831 MEL851830:MEL851831 LUP851830:LUP851831 LKT851830:LKT851831 LAX851830:LAX851831 KRB851830:KRB851831 KHF851830:KHF851831 JXJ851830:JXJ851831 JNN851830:JNN851831 JDR851830:JDR851831 ITV851830:ITV851831 IJZ851830:IJZ851831 IAD851830:IAD851831 HQH851830:HQH851831 HGL851830:HGL851831 GWP851830:GWP851831 GMT851830:GMT851831 GCX851830:GCX851831 FTB851830:FTB851831 FJF851830:FJF851831 EZJ851830:EZJ851831 EPN851830:EPN851831 EFR851830:EFR851831 DVV851830:DVV851831 DLZ851830:DLZ851831 DCD851830:DCD851831 CSH851830:CSH851831 CIL851830:CIL851831 BYP851830:BYP851831 BOT851830:BOT851831 BEX851830:BEX851831 AVB851830:AVB851831 ALF851830:ALF851831 ABJ851830:ABJ851831 RN851830:RN851831 HR851830:HR851831 WUD786294:WUD786295 WKH786294:WKH786295 WAL786294:WAL786295 VQP786294:VQP786295 VGT786294:VGT786295 UWX786294:UWX786295 UNB786294:UNB786295 UDF786294:UDF786295 TTJ786294:TTJ786295 TJN786294:TJN786295 SZR786294:SZR786295 SPV786294:SPV786295 SFZ786294:SFZ786295 RWD786294:RWD786295 RMH786294:RMH786295 RCL786294:RCL786295 QSP786294:QSP786295 QIT786294:QIT786295 PYX786294:PYX786295 PPB786294:PPB786295 PFF786294:PFF786295 OVJ786294:OVJ786295 OLN786294:OLN786295 OBR786294:OBR786295 NRV786294:NRV786295 NHZ786294:NHZ786295 MYD786294:MYD786295 MOH786294:MOH786295 MEL786294:MEL786295 LUP786294:LUP786295 LKT786294:LKT786295 LAX786294:LAX786295 KRB786294:KRB786295 KHF786294:KHF786295 JXJ786294:JXJ786295 JNN786294:JNN786295 JDR786294:JDR786295 ITV786294:ITV786295 IJZ786294:IJZ786295 IAD786294:IAD786295 HQH786294:HQH786295 HGL786294:HGL786295 GWP786294:GWP786295 GMT786294:GMT786295 GCX786294:GCX786295 FTB786294:FTB786295 FJF786294:FJF786295 EZJ786294:EZJ786295 EPN786294:EPN786295 EFR786294:EFR786295 DVV786294:DVV786295 DLZ786294:DLZ786295 DCD786294:DCD786295 CSH786294:CSH786295 CIL786294:CIL786295 BYP786294:BYP786295 BOT786294:BOT786295 BEX786294:BEX786295 AVB786294:AVB786295 ALF786294:ALF786295 ABJ786294:ABJ786295 RN786294:RN786295 HR786294:HR786295 WUD720758:WUD720759 WKH720758:WKH720759 WAL720758:WAL720759 VQP720758:VQP720759 VGT720758:VGT720759 UWX720758:UWX720759 UNB720758:UNB720759 UDF720758:UDF720759 TTJ720758:TTJ720759 TJN720758:TJN720759 SZR720758:SZR720759 SPV720758:SPV720759 SFZ720758:SFZ720759 RWD720758:RWD720759 RMH720758:RMH720759 RCL720758:RCL720759 QSP720758:QSP720759 QIT720758:QIT720759 PYX720758:PYX720759 PPB720758:PPB720759 PFF720758:PFF720759 OVJ720758:OVJ720759 OLN720758:OLN720759 OBR720758:OBR720759 NRV720758:NRV720759 NHZ720758:NHZ720759 MYD720758:MYD720759 MOH720758:MOH720759 MEL720758:MEL720759 LUP720758:LUP720759 LKT720758:LKT720759 LAX720758:LAX720759 KRB720758:KRB720759 KHF720758:KHF720759 JXJ720758:JXJ720759 JNN720758:JNN720759 JDR720758:JDR720759 ITV720758:ITV720759 IJZ720758:IJZ720759 IAD720758:IAD720759 HQH720758:HQH720759 HGL720758:HGL720759 GWP720758:GWP720759 GMT720758:GMT720759 GCX720758:GCX720759 FTB720758:FTB720759 FJF720758:FJF720759 EZJ720758:EZJ720759 EPN720758:EPN720759 EFR720758:EFR720759 DVV720758:DVV720759 DLZ720758:DLZ720759 DCD720758:DCD720759 CSH720758:CSH720759 CIL720758:CIL720759 BYP720758:BYP720759 BOT720758:BOT720759 BEX720758:BEX720759 AVB720758:AVB720759 ALF720758:ALF720759 ABJ720758:ABJ720759 RN720758:RN720759 HR720758:HR720759 WUD655222:WUD655223 WKH655222:WKH655223 WAL655222:WAL655223 VQP655222:VQP655223 VGT655222:VGT655223 UWX655222:UWX655223 UNB655222:UNB655223 UDF655222:UDF655223 TTJ655222:TTJ655223 TJN655222:TJN655223 SZR655222:SZR655223 SPV655222:SPV655223 SFZ655222:SFZ655223 RWD655222:RWD655223 RMH655222:RMH655223 RCL655222:RCL655223 QSP655222:QSP655223 QIT655222:QIT655223 PYX655222:PYX655223 PPB655222:PPB655223 PFF655222:PFF655223 OVJ655222:OVJ655223 OLN655222:OLN655223 OBR655222:OBR655223 NRV655222:NRV655223 NHZ655222:NHZ655223 MYD655222:MYD655223 MOH655222:MOH655223 MEL655222:MEL655223 LUP655222:LUP655223 LKT655222:LKT655223 LAX655222:LAX655223 KRB655222:KRB655223 KHF655222:KHF655223 JXJ655222:JXJ655223 JNN655222:JNN655223 JDR655222:JDR655223 ITV655222:ITV655223 IJZ655222:IJZ655223 IAD655222:IAD655223 HQH655222:HQH655223 HGL655222:HGL655223 GWP655222:GWP655223 GMT655222:GMT655223 GCX655222:GCX655223 FTB655222:FTB655223 FJF655222:FJF655223 EZJ655222:EZJ655223 EPN655222:EPN655223 EFR655222:EFR655223 DVV655222:DVV655223 DLZ655222:DLZ655223 DCD655222:DCD655223 CSH655222:CSH655223 CIL655222:CIL655223 BYP655222:BYP655223 BOT655222:BOT655223 BEX655222:BEX655223 AVB655222:AVB655223 ALF655222:ALF655223 ABJ655222:ABJ655223 RN655222:RN655223 HR655222:HR655223 WUD589686:WUD589687 WKH589686:WKH589687 WAL589686:WAL589687 VQP589686:VQP589687 VGT589686:VGT589687 UWX589686:UWX589687 UNB589686:UNB589687 UDF589686:UDF589687 TTJ589686:TTJ589687 TJN589686:TJN589687 SZR589686:SZR589687 SPV589686:SPV589687 SFZ589686:SFZ589687 RWD589686:RWD589687 RMH589686:RMH589687 RCL589686:RCL589687 QSP589686:QSP589687 QIT589686:QIT589687 PYX589686:PYX589687 PPB589686:PPB589687 PFF589686:PFF589687 OVJ589686:OVJ589687 OLN589686:OLN589687 OBR589686:OBR589687 NRV589686:NRV589687 NHZ589686:NHZ589687 MYD589686:MYD589687 MOH589686:MOH589687 MEL589686:MEL589687 LUP589686:LUP589687 LKT589686:LKT589687 LAX589686:LAX589687 KRB589686:KRB589687 KHF589686:KHF589687 JXJ589686:JXJ589687 JNN589686:JNN589687 JDR589686:JDR589687 ITV589686:ITV589687 IJZ589686:IJZ589687 IAD589686:IAD589687 HQH589686:HQH589687 HGL589686:HGL589687 GWP589686:GWP589687 GMT589686:GMT589687 GCX589686:GCX589687 FTB589686:FTB589687 FJF589686:FJF589687 EZJ589686:EZJ589687 EPN589686:EPN589687 EFR589686:EFR589687 DVV589686:DVV589687 DLZ589686:DLZ589687 DCD589686:DCD589687 CSH589686:CSH589687 CIL589686:CIL589687 BYP589686:BYP589687 BOT589686:BOT589687 BEX589686:BEX589687 AVB589686:AVB589687 ALF589686:ALF589687 ABJ589686:ABJ589687 RN589686:RN589687 HR589686:HR589687 WUD524150:WUD524151 WKH524150:WKH524151 WAL524150:WAL524151 VQP524150:VQP524151 VGT524150:VGT524151 UWX524150:UWX524151 UNB524150:UNB524151 UDF524150:UDF524151 TTJ524150:TTJ524151 TJN524150:TJN524151 SZR524150:SZR524151 SPV524150:SPV524151 SFZ524150:SFZ524151 RWD524150:RWD524151 RMH524150:RMH524151 RCL524150:RCL524151 QSP524150:QSP524151 QIT524150:QIT524151 PYX524150:PYX524151 PPB524150:PPB524151 PFF524150:PFF524151 OVJ524150:OVJ524151 OLN524150:OLN524151 OBR524150:OBR524151 NRV524150:NRV524151 NHZ524150:NHZ524151 MYD524150:MYD524151 MOH524150:MOH524151 MEL524150:MEL524151 LUP524150:LUP524151 LKT524150:LKT524151 LAX524150:LAX524151 KRB524150:KRB524151 KHF524150:KHF524151 JXJ524150:JXJ524151 JNN524150:JNN524151 JDR524150:JDR524151 ITV524150:ITV524151 IJZ524150:IJZ524151 IAD524150:IAD524151 HQH524150:HQH524151 HGL524150:HGL524151 GWP524150:GWP524151 GMT524150:GMT524151 GCX524150:GCX524151 FTB524150:FTB524151 FJF524150:FJF524151 EZJ524150:EZJ524151 EPN524150:EPN524151 EFR524150:EFR524151 DVV524150:DVV524151 DLZ524150:DLZ524151 DCD524150:DCD524151 CSH524150:CSH524151 CIL524150:CIL524151 BYP524150:BYP524151 BOT524150:BOT524151 BEX524150:BEX524151 AVB524150:AVB524151 ALF524150:ALF524151 ABJ524150:ABJ524151 RN524150:RN524151 HR524150:HR524151 WUD458614:WUD458615 WKH458614:WKH458615 WAL458614:WAL458615 VQP458614:VQP458615 VGT458614:VGT458615 UWX458614:UWX458615 UNB458614:UNB458615 UDF458614:UDF458615 TTJ458614:TTJ458615 TJN458614:TJN458615 SZR458614:SZR458615 SPV458614:SPV458615 SFZ458614:SFZ458615 RWD458614:RWD458615 RMH458614:RMH458615 RCL458614:RCL458615 QSP458614:QSP458615 QIT458614:QIT458615 PYX458614:PYX458615 PPB458614:PPB458615 PFF458614:PFF458615 OVJ458614:OVJ458615 OLN458614:OLN458615 OBR458614:OBR458615 NRV458614:NRV458615 NHZ458614:NHZ458615 MYD458614:MYD458615 MOH458614:MOH458615 MEL458614:MEL458615 LUP458614:LUP458615 LKT458614:LKT458615 LAX458614:LAX458615 KRB458614:KRB458615 KHF458614:KHF458615 JXJ458614:JXJ458615 JNN458614:JNN458615 JDR458614:JDR458615 ITV458614:ITV458615 IJZ458614:IJZ458615 IAD458614:IAD458615 HQH458614:HQH458615 HGL458614:HGL458615 GWP458614:GWP458615 GMT458614:GMT458615 GCX458614:GCX458615 FTB458614:FTB458615 FJF458614:FJF458615 EZJ458614:EZJ458615 EPN458614:EPN458615 EFR458614:EFR458615 DVV458614:DVV458615 DLZ458614:DLZ458615 DCD458614:DCD458615 CSH458614:CSH458615 CIL458614:CIL458615 BYP458614:BYP458615 BOT458614:BOT458615 BEX458614:BEX458615 AVB458614:AVB458615 ALF458614:ALF458615 ABJ458614:ABJ458615 RN458614:RN458615 HR458614:HR458615 WUD393078:WUD393079 WKH393078:WKH393079 WAL393078:WAL393079 VQP393078:VQP393079 VGT393078:VGT393079 UWX393078:UWX393079 UNB393078:UNB393079 UDF393078:UDF393079 TTJ393078:TTJ393079 TJN393078:TJN393079 SZR393078:SZR393079 SPV393078:SPV393079 SFZ393078:SFZ393079 RWD393078:RWD393079 RMH393078:RMH393079 RCL393078:RCL393079 QSP393078:QSP393079 QIT393078:QIT393079 PYX393078:PYX393079 PPB393078:PPB393079 PFF393078:PFF393079 OVJ393078:OVJ393079 OLN393078:OLN393079 OBR393078:OBR393079 NRV393078:NRV393079 NHZ393078:NHZ393079 MYD393078:MYD393079 MOH393078:MOH393079 MEL393078:MEL393079 LUP393078:LUP393079 LKT393078:LKT393079 LAX393078:LAX393079 KRB393078:KRB393079 KHF393078:KHF393079 JXJ393078:JXJ393079 JNN393078:JNN393079 JDR393078:JDR393079 ITV393078:ITV393079 IJZ393078:IJZ393079 IAD393078:IAD393079 HQH393078:HQH393079 HGL393078:HGL393079 GWP393078:GWP393079 GMT393078:GMT393079 GCX393078:GCX393079 FTB393078:FTB393079 FJF393078:FJF393079 EZJ393078:EZJ393079 EPN393078:EPN393079 EFR393078:EFR393079 DVV393078:DVV393079 DLZ393078:DLZ393079 DCD393078:DCD393079 CSH393078:CSH393079 CIL393078:CIL393079 BYP393078:BYP393079 BOT393078:BOT393079 BEX393078:BEX393079 AVB393078:AVB393079 ALF393078:ALF393079 ABJ393078:ABJ393079 RN393078:RN393079 HR393078:HR393079 WUD327542:WUD327543 WKH327542:WKH327543 WAL327542:WAL327543 VQP327542:VQP327543 VGT327542:VGT327543 UWX327542:UWX327543 UNB327542:UNB327543 UDF327542:UDF327543 TTJ327542:TTJ327543 TJN327542:TJN327543 SZR327542:SZR327543 SPV327542:SPV327543 SFZ327542:SFZ327543 RWD327542:RWD327543 RMH327542:RMH327543 RCL327542:RCL327543 QSP327542:QSP327543 QIT327542:QIT327543 PYX327542:PYX327543 PPB327542:PPB327543 PFF327542:PFF327543 OVJ327542:OVJ327543 OLN327542:OLN327543 OBR327542:OBR327543 NRV327542:NRV327543 NHZ327542:NHZ327543 MYD327542:MYD327543 MOH327542:MOH327543 MEL327542:MEL327543 LUP327542:LUP327543 LKT327542:LKT327543 LAX327542:LAX327543 KRB327542:KRB327543 KHF327542:KHF327543 JXJ327542:JXJ327543 JNN327542:JNN327543 JDR327542:JDR327543 ITV327542:ITV327543 IJZ327542:IJZ327543 IAD327542:IAD327543 HQH327542:HQH327543 HGL327542:HGL327543 GWP327542:GWP327543 GMT327542:GMT327543 GCX327542:GCX327543 FTB327542:FTB327543 FJF327542:FJF327543 EZJ327542:EZJ327543 EPN327542:EPN327543 EFR327542:EFR327543 DVV327542:DVV327543 DLZ327542:DLZ327543 DCD327542:DCD327543 CSH327542:CSH327543 CIL327542:CIL327543 BYP327542:BYP327543 BOT327542:BOT327543 BEX327542:BEX327543 AVB327542:AVB327543 ALF327542:ALF327543 ABJ327542:ABJ327543 RN327542:RN327543 HR327542:HR327543 WUD262006:WUD262007 WKH262006:WKH262007 WAL262006:WAL262007 VQP262006:VQP262007 VGT262006:VGT262007 UWX262006:UWX262007 UNB262006:UNB262007 UDF262006:UDF262007 TTJ262006:TTJ262007 TJN262006:TJN262007 SZR262006:SZR262007 SPV262006:SPV262007 SFZ262006:SFZ262007 RWD262006:RWD262007 RMH262006:RMH262007 RCL262006:RCL262007 QSP262006:QSP262007 QIT262006:QIT262007 PYX262006:PYX262007 PPB262006:PPB262007 PFF262006:PFF262007 OVJ262006:OVJ262007 OLN262006:OLN262007 OBR262006:OBR262007 NRV262006:NRV262007 NHZ262006:NHZ262007 MYD262006:MYD262007 MOH262006:MOH262007 MEL262006:MEL262007 LUP262006:LUP262007 LKT262006:LKT262007 LAX262006:LAX262007 KRB262006:KRB262007 KHF262006:KHF262007 JXJ262006:JXJ262007 JNN262006:JNN262007 JDR262006:JDR262007 ITV262006:ITV262007 IJZ262006:IJZ262007 IAD262006:IAD262007 HQH262006:HQH262007 HGL262006:HGL262007 GWP262006:GWP262007 GMT262006:GMT262007 GCX262006:GCX262007 FTB262006:FTB262007 FJF262006:FJF262007 EZJ262006:EZJ262007 EPN262006:EPN262007 EFR262006:EFR262007 DVV262006:DVV262007 DLZ262006:DLZ262007 DCD262006:DCD262007 CSH262006:CSH262007 CIL262006:CIL262007 BYP262006:BYP262007 BOT262006:BOT262007 BEX262006:BEX262007 AVB262006:AVB262007 ALF262006:ALF262007 ABJ262006:ABJ262007 RN262006:RN262007 HR262006:HR262007 WUD196470:WUD196471 WKH196470:WKH196471 WAL196470:WAL196471 VQP196470:VQP196471 VGT196470:VGT196471 UWX196470:UWX196471 UNB196470:UNB196471 UDF196470:UDF196471 TTJ196470:TTJ196471 TJN196470:TJN196471 SZR196470:SZR196471 SPV196470:SPV196471 SFZ196470:SFZ196471 RWD196470:RWD196471 RMH196470:RMH196471 RCL196470:RCL196471 QSP196470:QSP196471 QIT196470:QIT196471 PYX196470:PYX196471 PPB196470:PPB196471 PFF196470:PFF196471 OVJ196470:OVJ196471 OLN196470:OLN196471 OBR196470:OBR196471 NRV196470:NRV196471 NHZ196470:NHZ196471 MYD196470:MYD196471 MOH196470:MOH196471 MEL196470:MEL196471 LUP196470:LUP196471 LKT196470:LKT196471 LAX196470:LAX196471 KRB196470:KRB196471 KHF196470:KHF196471 JXJ196470:JXJ196471 JNN196470:JNN196471 JDR196470:JDR196471 ITV196470:ITV196471 IJZ196470:IJZ196471 IAD196470:IAD196471 HQH196470:HQH196471 HGL196470:HGL196471 GWP196470:GWP196471 GMT196470:GMT196471 GCX196470:GCX196471 FTB196470:FTB196471 FJF196470:FJF196471 EZJ196470:EZJ196471 EPN196470:EPN196471 EFR196470:EFR196471 DVV196470:DVV196471 DLZ196470:DLZ196471 DCD196470:DCD196471 CSH196470:CSH196471 CIL196470:CIL196471 BYP196470:BYP196471 BOT196470:BOT196471 BEX196470:BEX196471 AVB196470:AVB196471 ALF196470:ALF196471 ABJ196470:ABJ196471 RN196470:RN196471 HR196470:HR196471 WUD130934:WUD130935 WKH130934:WKH130935 WAL130934:WAL130935 VQP130934:VQP130935 VGT130934:VGT130935 UWX130934:UWX130935 UNB130934:UNB130935 UDF130934:UDF130935 TTJ130934:TTJ130935 TJN130934:TJN130935 SZR130934:SZR130935 SPV130934:SPV130935 SFZ130934:SFZ130935 RWD130934:RWD130935 RMH130934:RMH130935 RCL130934:RCL130935 QSP130934:QSP130935 QIT130934:QIT130935 PYX130934:PYX130935 PPB130934:PPB130935 PFF130934:PFF130935 OVJ130934:OVJ130935 OLN130934:OLN130935 OBR130934:OBR130935 NRV130934:NRV130935 NHZ130934:NHZ130935 MYD130934:MYD130935 MOH130934:MOH130935 MEL130934:MEL130935 LUP130934:LUP130935 LKT130934:LKT130935 LAX130934:LAX130935 KRB130934:KRB130935 KHF130934:KHF130935 JXJ130934:JXJ130935 JNN130934:JNN130935 JDR130934:JDR130935 ITV130934:ITV130935 IJZ130934:IJZ130935 IAD130934:IAD130935 HQH130934:HQH130935 HGL130934:HGL130935 GWP130934:GWP130935 GMT130934:GMT130935 GCX130934:GCX130935 FTB130934:FTB130935 FJF130934:FJF130935 EZJ130934:EZJ130935 EPN130934:EPN130935 EFR130934:EFR130935 DVV130934:DVV130935 DLZ130934:DLZ130935 DCD130934:DCD130935 CSH130934:CSH130935 CIL130934:CIL130935 BYP130934:BYP130935 BOT130934:BOT130935 BEX130934:BEX130935 AVB130934:AVB130935 ALF130934:ALF130935 ABJ130934:ABJ130935 RN130934:RN130935 HR130934:HR130935 WUD65398:WUD65399 WKH65398:WKH65399 WAL65398:WAL65399 VQP65398:VQP65399 VGT65398:VGT65399 UWX65398:UWX65399 UNB65398:UNB65399 UDF65398:UDF65399 TTJ65398:TTJ65399 TJN65398:TJN65399 SZR65398:SZR65399 SPV65398:SPV65399 SFZ65398:SFZ65399 RWD65398:RWD65399 RMH65398:RMH65399 RCL65398:RCL65399 QSP65398:QSP65399 QIT65398:QIT65399 PYX65398:PYX65399 PPB65398:PPB65399 PFF65398:PFF65399 OVJ65398:OVJ65399 OLN65398:OLN65399 OBR65398:OBR65399 NRV65398:NRV65399 NHZ65398:NHZ65399 MYD65398:MYD65399 MOH65398:MOH65399 MEL65398:MEL65399 LUP65398:LUP65399 LKT65398:LKT65399 LAX65398:LAX65399 KRB65398:KRB65399 KHF65398:KHF65399 JXJ65398:JXJ65399 JNN65398:JNN65399 JDR65398:JDR65399 ITV65398:ITV65399 IJZ65398:IJZ65399 IAD65398:IAD65399 HQH65398:HQH65399 HGL65398:HGL65399 GWP65398:GWP65399 GMT65398:GMT65399 GCX65398:GCX65399 FTB65398:FTB65399 FJF65398:FJF65399 EZJ65398:EZJ65399 EPN65398:EPN65399 EFR65398:EFR65399 DVV65398:DVV65399 DLZ65398:DLZ65399 DCD65398:DCD65399 CSH65398:CSH65399 CIL65398:CIL65399 BYP65398:BYP65399 BOT65398:BOT65399 BEX65398:BEX65399 AVB65398:AVB65399 ALF65398:ALF65399 ABJ65398:ABJ65399 RN65398:RN65399 HR65398:HR65399 WUD982923:WUD982924 WKH982923:WKH982924 WAL982923:WAL982924 VQP982923:VQP982924 VGT982923:VGT982924 UWX982923:UWX982924 UNB982923:UNB982924 UDF982923:UDF982924 TTJ982923:TTJ982924 TJN982923:TJN982924 SZR982923:SZR982924 SPV982923:SPV982924 SFZ982923:SFZ982924 RWD982923:RWD982924 RMH982923:RMH982924 RCL982923:RCL982924 QSP982923:QSP982924 QIT982923:QIT982924 PYX982923:PYX982924 PPB982923:PPB982924 PFF982923:PFF982924 OVJ982923:OVJ982924 OLN982923:OLN982924 OBR982923:OBR982924 NRV982923:NRV982924 NHZ982923:NHZ982924 MYD982923:MYD982924 MOH982923:MOH982924 MEL982923:MEL982924 LUP982923:LUP982924 LKT982923:LKT982924 LAX982923:LAX982924 KRB982923:KRB982924 KHF982923:KHF982924 JXJ982923:JXJ982924 JNN982923:JNN982924 JDR982923:JDR982924 ITV982923:ITV982924 IJZ982923:IJZ982924 IAD982923:IAD982924 HQH982923:HQH982924 HGL982923:HGL982924 GWP982923:GWP982924 GMT982923:GMT982924 GCX982923:GCX982924 FTB982923:FTB982924 FJF982923:FJF982924 EZJ982923:EZJ982924 EPN982923:EPN982924 EFR982923:EFR982924 DVV982923:DVV982924 DLZ982923:DLZ982924 DCD982923:DCD982924 CSH982923:CSH982924 CIL982923:CIL982924 BYP982923:BYP982924 BOT982923:BOT982924 BEX982923:BEX982924 AVB982923:AVB982924 ALF982923:ALF982924 ABJ982923:ABJ982924 RN982923:RN982924 HR982923:HR982924 WUD917387:WUD917388 WKH917387:WKH917388 WAL917387:WAL917388 VQP917387:VQP917388 VGT917387:VGT917388 UWX917387:UWX917388 UNB917387:UNB917388 UDF917387:UDF917388 TTJ917387:TTJ917388 TJN917387:TJN917388 SZR917387:SZR917388 SPV917387:SPV917388 SFZ917387:SFZ917388 RWD917387:RWD917388 RMH917387:RMH917388 RCL917387:RCL917388 QSP917387:QSP917388 QIT917387:QIT917388 PYX917387:PYX917388 PPB917387:PPB917388 PFF917387:PFF917388 OVJ917387:OVJ917388 OLN917387:OLN917388 OBR917387:OBR917388 NRV917387:NRV917388 NHZ917387:NHZ917388 MYD917387:MYD917388 MOH917387:MOH917388 MEL917387:MEL917388 LUP917387:LUP917388 LKT917387:LKT917388 LAX917387:LAX917388 KRB917387:KRB917388 KHF917387:KHF917388 JXJ917387:JXJ917388 JNN917387:JNN917388 JDR917387:JDR917388 ITV917387:ITV917388 IJZ917387:IJZ917388 IAD917387:IAD917388 HQH917387:HQH917388 HGL917387:HGL917388 GWP917387:GWP917388 GMT917387:GMT917388 GCX917387:GCX917388 FTB917387:FTB917388 FJF917387:FJF917388 EZJ917387:EZJ917388 EPN917387:EPN917388 EFR917387:EFR917388 DVV917387:DVV917388 DLZ917387:DLZ917388 DCD917387:DCD917388 CSH917387:CSH917388 CIL917387:CIL917388 BYP917387:BYP917388 BOT917387:BOT917388 BEX917387:BEX917388 AVB917387:AVB917388 ALF917387:ALF917388 ABJ917387:ABJ917388 RN917387:RN917388 HR917387:HR917388 WUD851851:WUD851852 WKH851851:WKH851852 WAL851851:WAL851852 VQP851851:VQP851852 VGT851851:VGT851852 UWX851851:UWX851852 UNB851851:UNB851852 UDF851851:UDF851852 TTJ851851:TTJ851852 TJN851851:TJN851852 SZR851851:SZR851852 SPV851851:SPV851852 SFZ851851:SFZ851852 RWD851851:RWD851852 RMH851851:RMH851852 RCL851851:RCL851852 QSP851851:QSP851852 QIT851851:QIT851852 PYX851851:PYX851852 PPB851851:PPB851852 PFF851851:PFF851852 OVJ851851:OVJ851852 OLN851851:OLN851852 OBR851851:OBR851852 NRV851851:NRV851852 NHZ851851:NHZ851852 MYD851851:MYD851852 MOH851851:MOH851852 MEL851851:MEL851852 LUP851851:LUP851852 LKT851851:LKT851852 LAX851851:LAX851852 KRB851851:KRB851852 KHF851851:KHF851852 JXJ851851:JXJ851852 JNN851851:JNN851852 JDR851851:JDR851852 ITV851851:ITV851852 IJZ851851:IJZ851852 IAD851851:IAD851852 HQH851851:HQH851852 HGL851851:HGL851852 GWP851851:GWP851852 GMT851851:GMT851852 GCX851851:GCX851852 FTB851851:FTB851852 FJF851851:FJF851852 EZJ851851:EZJ851852 EPN851851:EPN851852 EFR851851:EFR851852 DVV851851:DVV851852 DLZ851851:DLZ851852 DCD851851:DCD851852 CSH851851:CSH851852 CIL851851:CIL851852 BYP851851:BYP851852 BOT851851:BOT851852 BEX851851:BEX851852 AVB851851:AVB851852 ALF851851:ALF851852 ABJ851851:ABJ851852 RN851851:RN851852 HR851851:HR851852 WUD786315:WUD786316 WKH786315:WKH786316 WAL786315:WAL786316 VQP786315:VQP786316 VGT786315:VGT786316 UWX786315:UWX786316 UNB786315:UNB786316 UDF786315:UDF786316 TTJ786315:TTJ786316 TJN786315:TJN786316 SZR786315:SZR786316 SPV786315:SPV786316 SFZ786315:SFZ786316 RWD786315:RWD786316 RMH786315:RMH786316 RCL786315:RCL786316 QSP786315:QSP786316 QIT786315:QIT786316 PYX786315:PYX786316 PPB786315:PPB786316 PFF786315:PFF786316 OVJ786315:OVJ786316 OLN786315:OLN786316 OBR786315:OBR786316 NRV786315:NRV786316 NHZ786315:NHZ786316 MYD786315:MYD786316 MOH786315:MOH786316 MEL786315:MEL786316 LUP786315:LUP786316 LKT786315:LKT786316 LAX786315:LAX786316 KRB786315:KRB786316 KHF786315:KHF786316 JXJ786315:JXJ786316 JNN786315:JNN786316 JDR786315:JDR786316 ITV786315:ITV786316 IJZ786315:IJZ786316 IAD786315:IAD786316 HQH786315:HQH786316 HGL786315:HGL786316 GWP786315:GWP786316 GMT786315:GMT786316 GCX786315:GCX786316 FTB786315:FTB786316 FJF786315:FJF786316 EZJ786315:EZJ786316 EPN786315:EPN786316 EFR786315:EFR786316 DVV786315:DVV786316 DLZ786315:DLZ786316 DCD786315:DCD786316 CSH786315:CSH786316 CIL786315:CIL786316 BYP786315:BYP786316 BOT786315:BOT786316 BEX786315:BEX786316 AVB786315:AVB786316 ALF786315:ALF786316 ABJ786315:ABJ786316 RN786315:RN786316 HR786315:HR786316 WUD720779:WUD720780 WKH720779:WKH720780 WAL720779:WAL720780 VQP720779:VQP720780 VGT720779:VGT720780 UWX720779:UWX720780 UNB720779:UNB720780 UDF720779:UDF720780 TTJ720779:TTJ720780 TJN720779:TJN720780 SZR720779:SZR720780 SPV720779:SPV720780 SFZ720779:SFZ720780 RWD720779:RWD720780 RMH720779:RMH720780 RCL720779:RCL720780 QSP720779:QSP720780 QIT720779:QIT720780 PYX720779:PYX720780 PPB720779:PPB720780 PFF720779:PFF720780 OVJ720779:OVJ720780 OLN720779:OLN720780 OBR720779:OBR720780 NRV720779:NRV720780 NHZ720779:NHZ720780 MYD720779:MYD720780 MOH720779:MOH720780 MEL720779:MEL720780 LUP720779:LUP720780 LKT720779:LKT720780 LAX720779:LAX720780 KRB720779:KRB720780 KHF720779:KHF720780 JXJ720779:JXJ720780 JNN720779:JNN720780 JDR720779:JDR720780 ITV720779:ITV720780 IJZ720779:IJZ720780 IAD720779:IAD720780 HQH720779:HQH720780 HGL720779:HGL720780 GWP720779:GWP720780 GMT720779:GMT720780 GCX720779:GCX720780 FTB720779:FTB720780 FJF720779:FJF720780 EZJ720779:EZJ720780 EPN720779:EPN720780 EFR720779:EFR720780 DVV720779:DVV720780 DLZ720779:DLZ720780 DCD720779:DCD720780 CSH720779:CSH720780 CIL720779:CIL720780 BYP720779:BYP720780 BOT720779:BOT720780 BEX720779:BEX720780 AVB720779:AVB720780 ALF720779:ALF720780 ABJ720779:ABJ720780 RN720779:RN720780 HR720779:HR720780 WUD655243:WUD655244 WKH655243:WKH655244 WAL655243:WAL655244 VQP655243:VQP655244 VGT655243:VGT655244 UWX655243:UWX655244 UNB655243:UNB655244 UDF655243:UDF655244 TTJ655243:TTJ655244 TJN655243:TJN655244 SZR655243:SZR655244 SPV655243:SPV655244 SFZ655243:SFZ655244 RWD655243:RWD655244 RMH655243:RMH655244 RCL655243:RCL655244 QSP655243:QSP655244 QIT655243:QIT655244 PYX655243:PYX655244 PPB655243:PPB655244 PFF655243:PFF655244 OVJ655243:OVJ655244 OLN655243:OLN655244 OBR655243:OBR655244 NRV655243:NRV655244 NHZ655243:NHZ655244 MYD655243:MYD655244 MOH655243:MOH655244 MEL655243:MEL655244 LUP655243:LUP655244 LKT655243:LKT655244 LAX655243:LAX655244 KRB655243:KRB655244 KHF655243:KHF655244 JXJ655243:JXJ655244 JNN655243:JNN655244 JDR655243:JDR655244 ITV655243:ITV655244 IJZ655243:IJZ655244 IAD655243:IAD655244 HQH655243:HQH655244 HGL655243:HGL655244 GWP655243:GWP655244 GMT655243:GMT655244 GCX655243:GCX655244 FTB655243:FTB655244 FJF655243:FJF655244 EZJ655243:EZJ655244 EPN655243:EPN655244 EFR655243:EFR655244 DVV655243:DVV655244 DLZ655243:DLZ655244 DCD655243:DCD655244 CSH655243:CSH655244 CIL655243:CIL655244 BYP655243:BYP655244 BOT655243:BOT655244 BEX655243:BEX655244 AVB655243:AVB655244 ALF655243:ALF655244 ABJ655243:ABJ655244 RN655243:RN655244 HR655243:HR655244 WUD589707:WUD589708 WKH589707:WKH589708 WAL589707:WAL589708 VQP589707:VQP589708 VGT589707:VGT589708 UWX589707:UWX589708 UNB589707:UNB589708 UDF589707:UDF589708 TTJ589707:TTJ589708 TJN589707:TJN589708 SZR589707:SZR589708 SPV589707:SPV589708 SFZ589707:SFZ589708 RWD589707:RWD589708 RMH589707:RMH589708 RCL589707:RCL589708 QSP589707:QSP589708 QIT589707:QIT589708 PYX589707:PYX589708 PPB589707:PPB589708 PFF589707:PFF589708 OVJ589707:OVJ589708 OLN589707:OLN589708 OBR589707:OBR589708 NRV589707:NRV589708 NHZ589707:NHZ589708 MYD589707:MYD589708 MOH589707:MOH589708 MEL589707:MEL589708 LUP589707:LUP589708 LKT589707:LKT589708 LAX589707:LAX589708 KRB589707:KRB589708 KHF589707:KHF589708 JXJ589707:JXJ589708 JNN589707:JNN589708 JDR589707:JDR589708 ITV589707:ITV589708 IJZ589707:IJZ589708 IAD589707:IAD589708 HQH589707:HQH589708 HGL589707:HGL589708 GWP589707:GWP589708 GMT589707:GMT589708 GCX589707:GCX589708 FTB589707:FTB589708 FJF589707:FJF589708 EZJ589707:EZJ589708 EPN589707:EPN589708 EFR589707:EFR589708 DVV589707:DVV589708 DLZ589707:DLZ589708 DCD589707:DCD589708 CSH589707:CSH589708 CIL589707:CIL589708 BYP589707:BYP589708 BOT589707:BOT589708 BEX589707:BEX589708 AVB589707:AVB589708 ALF589707:ALF589708 ABJ589707:ABJ589708 RN589707:RN589708 HR589707:HR589708 WUD524171:WUD524172 WKH524171:WKH524172 WAL524171:WAL524172 VQP524171:VQP524172 VGT524171:VGT524172 UWX524171:UWX524172 UNB524171:UNB524172 UDF524171:UDF524172 TTJ524171:TTJ524172 TJN524171:TJN524172 SZR524171:SZR524172 SPV524171:SPV524172 SFZ524171:SFZ524172 RWD524171:RWD524172 RMH524171:RMH524172 RCL524171:RCL524172 QSP524171:QSP524172 QIT524171:QIT524172 PYX524171:PYX524172 PPB524171:PPB524172 PFF524171:PFF524172 OVJ524171:OVJ524172 OLN524171:OLN524172 OBR524171:OBR524172 NRV524171:NRV524172 NHZ524171:NHZ524172 MYD524171:MYD524172 MOH524171:MOH524172 MEL524171:MEL524172 LUP524171:LUP524172 LKT524171:LKT524172 LAX524171:LAX524172 KRB524171:KRB524172 KHF524171:KHF524172 JXJ524171:JXJ524172 JNN524171:JNN524172 JDR524171:JDR524172 ITV524171:ITV524172 IJZ524171:IJZ524172 IAD524171:IAD524172 HQH524171:HQH524172 HGL524171:HGL524172 GWP524171:GWP524172 GMT524171:GMT524172 GCX524171:GCX524172 FTB524171:FTB524172 FJF524171:FJF524172 EZJ524171:EZJ524172 EPN524171:EPN524172 EFR524171:EFR524172 DVV524171:DVV524172 DLZ524171:DLZ524172 DCD524171:DCD524172 CSH524171:CSH524172 CIL524171:CIL524172 BYP524171:BYP524172 BOT524171:BOT524172 BEX524171:BEX524172 AVB524171:AVB524172 ALF524171:ALF524172 ABJ524171:ABJ524172 RN524171:RN524172 HR524171:HR524172 WUD458635:WUD458636 WKH458635:WKH458636 WAL458635:WAL458636 VQP458635:VQP458636 VGT458635:VGT458636 UWX458635:UWX458636 UNB458635:UNB458636 UDF458635:UDF458636 TTJ458635:TTJ458636 TJN458635:TJN458636 SZR458635:SZR458636 SPV458635:SPV458636 SFZ458635:SFZ458636 RWD458635:RWD458636 RMH458635:RMH458636 RCL458635:RCL458636 QSP458635:QSP458636 QIT458635:QIT458636 PYX458635:PYX458636 PPB458635:PPB458636 PFF458635:PFF458636 OVJ458635:OVJ458636 OLN458635:OLN458636 OBR458635:OBR458636 NRV458635:NRV458636 NHZ458635:NHZ458636 MYD458635:MYD458636 MOH458635:MOH458636 MEL458635:MEL458636 LUP458635:LUP458636 LKT458635:LKT458636 LAX458635:LAX458636 KRB458635:KRB458636 KHF458635:KHF458636 JXJ458635:JXJ458636 JNN458635:JNN458636 JDR458635:JDR458636 ITV458635:ITV458636 IJZ458635:IJZ458636 IAD458635:IAD458636 HQH458635:HQH458636 HGL458635:HGL458636 GWP458635:GWP458636 GMT458635:GMT458636 GCX458635:GCX458636 FTB458635:FTB458636 FJF458635:FJF458636 EZJ458635:EZJ458636 EPN458635:EPN458636 EFR458635:EFR458636 DVV458635:DVV458636 DLZ458635:DLZ458636 DCD458635:DCD458636 CSH458635:CSH458636 CIL458635:CIL458636 BYP458635:BYP458636 BOT458635:BOT458636 BEX458635:BEX458636 AVB458635:AVB458636 ALF458635:ALF458636 ABJ458635:ABJ458636 RN458635:RN458636 HR458635:HR458636 WUD393099:WUD393100 WKH393099:WKH393100 WAL393099:WAL393100 VQP393099:VQP393100 VGT393099:VGT393100 UWX393099:UWX393100 UNB393099:UNB393100 UDF393099:UDF393100 TTJ393099:TTJ393100 TJN393099:TJN393100 SZR393099:SZR393100 SPV393099:SPV393100 SFZ393099:SFZ393100 RWD393099:RWD393100 RMH393099:RMH393100 RCL393099:RCL393100 QSP393099:QSP393100 QIT393099:QIT393100 PYX393099:PYX393100 PPB393099:PPB393100 PFF393099:PFF393100 OVJ393099:OVJ393100 OLN393099:OLN393100 OBR393099:OBR393100 NRV393099:NRV393100 NHZ393099:NHZ393100 MYD393099:MYD393100 MOH393099:MOH393100 MEL393099:MEL393100 LUP393099:LUP393100 LKT393099:LKT393100 LAX393099:LAX393100 KRB393099:KRB393100 KHF393099:KHF393100 JXJ393099:JXJ393100 JNN393099:JNN393100 JDR393099:JDR393100 ITV393099:ITV393100 IJZ393099:IJZ393100 IAD393099:IAD393100 HQH393099:HQH393100 HGL393099:HGL393100 GWP393099:GWP393100 GMT393099:GMT393100 GCX393099:GCX393100 FTB393099:FTB393100 FJF393099:FJF393100 EZJ393099:EZJ393100 EPN393099:EPN393100 EFR393099:EFR393100 DVV393099:DVV393100 DLZ393099:DLZ393100 DCD393099:DCD393100 CSH393099:CSH393100 CIL393099:CIL393100 BYP393099:BYP393100 BOT393099:BOT393100 BEX393099:BEX393100 AVB393099:AVB393100 ALF393099:ALF393100 ABJ393099:ABJ393100 RN393099:RN393100 HR393099:HR393100 WUD327563:WUD327564 WKH327563:WKH327564 WAL327563:WAL327564 VQP327563:VQP327564 VGT327563:VGT327564 UWX327563:UWX327564 UNB327563:UNB327564 UDF327563:UDF327564 TTJ327563:TTJ327564 TJN327563:TJN327564 SZR327563:SZR327564 SPV327563:SPV327564 SFZ327563:SFZ327564 RWD327563:RWD327564 RMH327563:RMH327564 RCL327563:RCL327564 QSP327563:QSP327564 QIT327563:QIT327564 PYX327563:PYX327564 PPB327563:PPB327564 PFF327563:PFF327564 OVJ327563:OVJ327564 OLN327563:OLN327564 OBR327563:OBR327564 NRV327563:NRV327564 NHZ327563:NHZ327564 MYD327563:MYD327564 MOH327563:MOH327564 MEL327563:MEL327564 LUP327563:LUP327564 LKT327563:LKT327564 LAX327563:LAX327564 KRB327563:KRB327564 KHF327563:KHF327564 JXJ327563:JXJ327564 JNN327563:JNN327564 JDR327563:JDR327564 ITV327563:ITV327564 IJZ327563:IJZ327564 IAD327563:IAD327564 HQH327563:HQH327564 HGL327563:HGL327564 GWP327563:GWP327564 GMT327563:GMT327564 GCX327563:GCX327564 FTB327563:FTB327564 FJF327563:FJF327564 EZJ327563:EZJ327564 EPN327563:EPN327564 EFR327563:EFR327564 DVV327563:DVV327564 DLZ327563:DLZ327564 DCD327563:DCD327564 CSH327563:CSH327564 CIL327563:CIL327564 BYP327563:BYP327564 BOT327563:BOT327564 BEX327563:BEX327564 AVB327563:AVB327564 ALF327563:ALF327564 ABJ327563:ABJ327564 RN327563:RN327564 HR327563:HR327564 WUD262027:WUD262028 WKH262027:WKH262028 WAL262027:WAL262028 VQP262027:VQP262028 VGT262027:VGT262028 UWX262027:UWX262028 UNB262027:UNB262028 UDF262027:UDF262028 TTJ262027:TTJ262028 TJN262027:TJN262028 SZR262027:SZR262028 SPV262027:SPV262028 SFZ262027:SFZ262028 RWD262027:RWD262028 RMH262027:RMH262028 RCL262027:RCL262028 QSP262027:QSP262028 QIT262027:QIT262028 PYX262027:PYX262028 PPB262027:PPB262028 PFF262027:PFF262028 OVJ262027:OVJ262028 OLN262027:OLN262028 OBR262027:OBR262028 NRV262027:NRV262028 NHZ262027:NHZ262028 MYD262027:MYD262028 MOH262027:MOH262028 MEL262027:MEL262028 LUP262027:LUP262028 LKT262027:LKT262028 LAX262027:LAX262028 KRB262027:KRB262028 KHF262027:KHF262028 JXJ262027:JXJ262028 JNN262027:JNN262028 JDR262027:JDR262028 ITV262027:ITV262028 IJZ262027:IJZ262028 IAD262027:IAD262028 HQH262027:HQH262028 HGL262027:HGL262028 GWP262027:GWP262028 GMT262027:GMT262028 GCX262027:GCX262028 FTB262027:FTB262028 FJF262027:FJF262028 EZJ262027:EZJ262028 EPN262027:EPN262028 EFR262027:EFR262028 DVV262027:DVV262028 DLZ262027:DLZ262028 DCD262027:DCD262028 CSH262027:CSH262028 CIL262027:CIL262028 BYP262027:BYP262028 BOT262027:BOT262028 BEX262027:BEX262028 AVB262027:AVB262028 ALF262027:ALF262028 ABJ262027:ABJ262028 RN262027:RN262028 HR262027:HR262028 WUD196491:WUD196492 WKH196491:WKH196492 WAL196491:WAL196492 VQP196491:VQP196492 VGT196491:VGT196492 UWX196491:UWX196492 UNB196491:UNB196492 UDF196491:UDF196492 TTJ196491:TTJ196492 TJN196491:TJN196492 SZR196491:SZR196492 SPV196491:SPV196492 SFZ196491:SFZ196492 RWD196491:RWD196492 RMH196491:RMH196492 RCL196491:RCL196492 QSP196491:QSP196492 QIT196491:QIT196492 PYX196491:PYX196492 PPB196491:PPB196492 PFF196491:PFF196492 OVJ196491:OVJ196492 OLN196491:OLN196492 OBR196491:OBR196492 NRV196491:NRV196492 NHZ196491:NHZ196492 MYD196491:MYD196492 MOH196491:MOH196492 MEL196491:MEL196492 LUP196491:LUP196492 LKT196491:LKT196492 LAX196491:LAX196492 KRB196491:KRB196492 KHF196491:KHF196492 JXJ196491:JXJ196492 JNN196491:JNN196492 JDR196491:JDR196492 ITV196491:ITV196492 IJZ196491:IJZ196492 IAD196491:IAD196492 HQH196491:HQH196492 HGL196491:HGL196492 GWP196491:GWP196492 GMT196491:GMT196492 GCX196491:GCX196492 FTB196491:FTB196492 FJF196491:FJF196492 EZJ196491:EZJ196492 EPN196491:EPN196492 EFR196491:EFR196492 DVV196491:DVV196492 DLZ196491:DLZ196492 DCD196491:DCD196492 CSH196491:CSH196492 CIL196491:CIL196492 BYP196491:BYP196492 BOT196491:BOT196492 BEX196491:BEX196492 AVB196491:AVB196492 ALF196491:ALF196492 ABJ196491:ABJ196492 RN196491:RN196492 HR196491:HR196492 WUD130955:WUD130956 WKH130955:WKH130956 WAL130955:WAL130956 VQP130955:VQP130956 VGT130955:VGT130956 UWX130955:UWX130956 UNB130955:UNB130956 UDF130955:UDF130956 TTJ130955:TTJ130956 TJN130955:TJN130956 SZR130955:SZR130956 SPV130955:SPV130956 SFZ130955:SFZ130956 RWD130955:RWD130956 RMH130955:RMH130956 RCL130955:RCL130956 QSP130955:QSP130956 QIT130955:QIT130956 PYX130955:PYX130956 PPB130955:PPB130956 PFF130955:PFF130956 OVJ130955:OVJ130956 OLN130955:OLN130956 OBR130955:OBR130956 NRV130955:NRV130956 NHZ130955:NHZ130956 MYD130955:MYD130956 MOH130955:MOH130956 MEL130955:MEL130956 LUP130955:LUP130956 LKT130955:LKT130956 LAX130955:LAX130956 KRB130955:KRB130956 KHF130955:KHF130956 JXJ130955:JXJ130956 JNN130955:JNN130956 JDR130955:JDR130956 ITV130955:ITV130956 IJZ130955:IJZ130956 IAD130955:IAD130956 HQH130955:HQH130956 HGL130955:HGL130956 GWP130955:GWP130956 GMT130955:GMT130956 GCX130955:GCX130956 FTB130955:FTB130956 FJF130955:FJF130956 EZJ130955:EZJ130956 EPN130955:EPN130956 EFR130955:EFR130956 DVV130955:DVV130956 DLZ130955:DLZ130956 DCD130955:DCD130956 CSH130955:CSH130956 CIL130955:CIL130956 BYP130955:BYP130956 BOT130955:BOT130956 BEX130955:BEX130956 AVB130955:AVB130956 ALF130955:ALF130956 ABJ130955:ABJ130956 RN130955:RN130956 HR130955:HR130956 WUD65419:WUD65420 WKH65419:WKH65420 WAL65419:WAL65420 VQP65419:VQP65420 VGT65419:VGT65420 UWX65419:UWX65420 UNB65419:UNB65420 UDF65419:UDF65420 TTJ65419:TTJ65420 TJN65419:TJN65420 SZR65419:SZR65420 SPV65419:SPV65420 SFZ65419:SFZ65420 RWD65419:RWD65420 RMH65419:RMH65420 RCL65419:RCL65420 QSP65419:QSP65420 QIT65419:QIT65420 PYX65419:PYX65420 PPB65419:PPB65420 PFF65419:PFF65420 OVJ65419:OVJ65420 OLN65419:OLN65420 OBR65419:OBR65420 NRV65419:NRV65420 NHZ65419:NHZ65420 MYD65419:MYD65420 MOH65419:MOH65420 MEL65419:MEL65420 LUP65419:LUP65420 LKT65419:LKT65420 LAX65419:LAX65420 KRB65419:KRB65420 KHF65419:KHF65420 JXJ65419:JXJ65420 JNN65419:JNN65420 JDR65419:JDR65420 ITV65419:ITV65420 IJZ65419:IJZ65420 IAD65419:IAD65420 HQH65419:HQH65420 HGL65419:HGL65420 GWP65419:GWP65420 GMT65419:GMT65420 GCX65419:GCX65420 FTB65419:FTB65420 FJF65419:FJF65420 EZJ65419:EZJ65420 EPN65419:EPN65420 EFR65419:EFR65420 DVV65419:DVV65420 DLZ65419:DLZ65420 DCD65419:DCD65420 CSH65419:CSH65420 CIL65419:CIL65420 BYP65419:BYP65420 BOT65419:BOT65420 BEX65419:BEX65420 AVB65419:AVB65420 ALF65419:ALF65420 ABJ65419:ABJ65420 RN65419:RN65420 HR65419:HR65420 WUD982933:WUD982934 WKH982933:WKH982934 WAL982933:WAL982934 VQP982933:VQP982934 VGT982933:VGT982934 UWX982933:UWX982934 UNB982933:UNB982934 UDF982933:UDF982934 TTJ982933:TTJ982934 TJN982933:TJN982934 SZR982933:SZR982934 SPV982933:SPV982934 SFZ982933:SFZ982934 RWD982933:RWD982934 RMH982933:RMH982934 RCL982933:RCL982934 QSP982933:QSP982934 QIT982933:QIT982934 PYX982933:PYX982934 PPB982933:PPB982934 PFF982933:PFF982934 OVJ982933:OVJ982934 OLN982933:OLN982934 OBR982933:OBR982934 NRV982933:NRV982934 NHZ982933:NHZ982934 MYD982933:MYD982934 MOH982933:MOH982934 MEL982933:MEL982934 LUP982933:LUP982934 LKT982933:LKT982934 LAX982933:LAX982934 KRB982933:KRB982934 KHF982933:KHF982934 JXJ982933:JXJ982934 JNN982933:JNN982934 JDR982933:JDR982934 ITV982933:ITV982934 IJZ982933:IJZ982934 IAD982933:IAD982934 HQH982933:HQH982934 HGL982933:HGL982934 GWP982933:GWP982934 GMT982933:GMT982934 GCX982933:GCX982934 FTB982933:FTB982934 FJF982933:FJF982934 EZJ982933:EZJ982934 EPN982933:EPN982934 EFR982933:EFR982934 DVV982933:DVV982934 DLZ982933:DLZ982934 DCD982933:DCD982934 CSH982933:CSH982934 CIL982933:CIL982934 BYP982933:BYP982934 BOT982933:BOT982934 BEX982933:BEX982934 AVB982933:AVB982934 ALF982933:ALF982934 ABJ982933:ABJ982934 RN982933:RN982934 HR982933:HR982934 WUD917397:WUD917398 WKH917397:WKH917398 WAL917397:WAL917398 VQP917397:VQP917398 VGT917397:VGT917398 UWX917397:UWX917398 UNB917397:UNB917398 UDF917397:UDF917398 TTJ917397:TTJ917398 TJN917397:TJN917398 SZR917397:SZR917398 SPV917397:SPV917398 SFZ917397:SFZ917398 RWD917397:RWD917398 RMH917397:RMH917398 RCL917397:RCL917398 QSP917397:QSP917398 QIT917397:QIT917398 PYX917397:PYX917398 PPB917397:PPB917398 PFF917397:PFF917398 OVJ917397:OVJ917398 OLN917397:OLN917398 OBR917397:OBR917398 NRV917397:NRV917398 NHZ917397:NHZ917398 MYD917397:MYD917398 MOH917397:MOH917398 MEL917397:MEL917398 LUP917397:LUP917398 LKT917397:LKT917398 LAX917397:LAX917398 KRB917397:KRB917398 KHF917397:KHF917398 JXJ917397:JXJ917398 JNN917397:JNN917398 JDR917397:JDR917398 ITV917397:ITV917398 IJZ917397:IJZ917398 IAD917397:IAD917398 HQH917397:HQH917398 HGL917397:HGL917398 GWP917397:GWP917398 GMT917397:GMT917398 GCX917397:GCX917398 FTB917397:FTB917398 FJF917397:FJF917398 EZJ917397:EZJ917398 EPN917397:EPN917398 EFR917397:EFR917398 DVV917397:DVV917398 DLZ917397:DLZ917398 DCD917397:DCD917398 CSH917397:CSH917398 CIL917397:CIL917398 BYP917397:BYP917398 BOT917397:BOT917398 BEX917397:BEX917398 AVB917397:AVB917398 ALF917397:ALF917398 ABJ917397:ABJ917398 RN917397:RN917398 HR917397:HR917398 WUD851861:WUD851862 WKH851861:WKH851862 WAL851861:WAL851862 VQP851861:VQP851862 VGT851861:VGT851862 UWX851861:UWX851862 UNB851861:UNB851862 UDF851861:UDF851862 TTJ851861:TTJ851862 TJN851861:TJN851862 SZR851861:SZR851862 SPV851861:SPV851862 SFZ851861:SFZ851862 RWD851861:RWD851862 RMH851861:RMH851862 RCL851861:RCL851862 QSP851861:QSP851862 QIT851861:QIT851862 PYX851861:PYX851862 PPB851861:PPB851862 PFF851861:PFF851862 OVJ851861:OVJ851862 OLN851861:OLN851862 OBR851861:OBR851862 NRV851861:NRV851862 NHZ851861:NHZ851862 MYD851861:MYD851862 MOH851861:MOH851862 MEL851861:MEL851862 LUP851861:LUP851862 LKT851861:LKT851862 LAX851861:LAX851862 KRB851861:KRB851862 KHF851861:KHF851862 JXJ851861:JXJ851862 JNN851861:JNN851862 JDR851861:JDR851862 ITV851861:ITV851862 IJZ851861:IJZ851862 IAD851861:IAD851862 HQH851861:HQH851862 HGL851861:HGL851862 GWP851861:GWP851862 GMT851861:GMT851862 GCX851861:GCX851862 FTB851861:FTB851862 FJF851861:FJF851862 EZJ851861:EZJ851862 EPN851861:EPN851862 EFR851861:EFR851862 DVV851861:DVV851862 DLZ851861:DLZ851862 DCD851861:DCD851862 CSH851861:CSH851862 CIL851861:CIL851862 BYP851861:BYP851862 BOT851861:BOT851862 BEX851861:BEX851862 AVB851861:AVB851862 ALF851861:ALF851862 ABJ851861:ABJ851862 RN851861:RN851862 HR851861:HR851862 WUD786325:WUD786326 WKH786325:WKH786326 WAL786325:WAL786326 VQP786325:VQP786326 VGT786325:VGT786326 UWX786325:UWX786326 UNB786325:UNB786326 UDF786325:UDF786326 TTJ786325:TTJ786326 TJN786325:TJN786326 SZR786325:SZR786326 SPV786325:SPV786326 SFZ786325:SFZ786326 RWD786325:RWD786326 RMH786325:RMH786326 RCL786325:RCL786326 QSP786325:QSP786326 QIT786325:QIT786326 PYX786325:PYX786326 PPB786325:PPB786326 PFF786325:PFF786326 OVJ786325:OVJ786326 OLN786325:OLN786326 OBR786325:OBR786326 NRV786325:NRV786326 NHZ786325:NHZ786326 MYD786325:MYD786326 MOH786325:MOH786326 MEL786325:MEL786326 LUP786325:LUP786326 LKT786325:LKT786326 LAX786325:LAX786326 KRB786325:KRB786326 KHF786325:KHF786326 JXJ786325:JXJ786326 JNN786325:JNN786326 JDR786325:JDR786326 ITV786325:ITV786326 IJZ786325:IJZ786326 IAD786325:IAD786326 HQH786325:HQH786326 HGL786325:HGL786326 GWP786325:GWP786326 GMT786325:GMT786326 GCX786325:GCX786326 FTB786325:FTB786326 FJF786325:FJF786326 EZJ786325:EZJ786326 EPN786325:EPN786326 EFR786325:EFR786326 DVV786325:DVV786326 DLZ786325:DLZ786326 DCD786325:DCD786326 CSH786325:CSH786326 CIL786325:CIL786326 BYP786325:BYP786326 BOT786325:BOT786326 BEX786325:BEX786326 AVB786325:AVB786326 ALF786325:ALF786326 ABJ786325:ABJ786326 RN786325:RN786326 HR786325:HR786326 WUD720789:WUD720790 WKH720789:WKH720790 WAL720789:WAL720790 VQP720789:VQP720790 VGT720789:VGT720790 UWX720789:UWX720790 UNB720789:UNB720790 UDF720789:UDF720790 TTJ720789:TTJ720790 TJN720789:TJN720790 SZR720789:SZR720790 SPV720789:SPV720790 SFZ720789:SFZ720790 RWD720789:RWD720790 RMH720789:RMH720790 RCL720789:RCL720790 QSP720789:QSP720790 QIT720789:QIT720790 PYX720789:PYX720790 PPB720789:PPB720790 PFF720789:PFF720790 OVJ720789:OVJ720790 OLN720789:OLN720790 OBR720789:OBR720790 NRV720789:NRV720790 NHZ720789:NHZ720790 MYD720789:MYD720790 MOH720789:MOH720790 MEL720789:MEL720790 LUP720789:LUP720790 LKT720789:LKT720790 LAX720789:LAX720790 KRB720789:KRB720790 KHF720789:KHF720790 JXJ720789:JXJ720790 JNN720789:JNN720790 JDR720789:JDR720790 ITV720789:ITV720790 IJZ720789:IJZ720790 IAD720789:IAD720790 HQH720789:HQH720790 HGL720789:HGL720790 GWP720789:GWP720790 GMT720789:GMT720790 GCX720789:GCX720790 FTB720789:FTB720790 FJF720789:FJF720790 EZJ720789:EZJ720790 EPN720789:EPN720790 EFR720789:EFR720790 DVV720789:DVV720790 DLZ720789:DLZ720790 DCD720789:DCD720790 CSH720789:CSH720790 CIL720789:CIL720790 BYP720789:BYP720790 BOT720789:BOT720790 BEX720789:BEX720790 AVB720789:AVB720790 ALF720789:ALF720790 ABJ720789:ABJ720790 RN720789:RN720790 HR720789:HR720790 WUD655253:WUD655254 WKH655253:WKH655254 WAL655253:WAL655254 VQP655253:VQP655254 VGT655253:VGT655254 UWX655253:UWX655254 UNB655253:UNB655254 UDF655253:UDF655254 TTJ655253:TTJ655254 TJN655253:TJN655254 SZR655253:SZR655254 SPV655253:SPV655254 SFZ655253:SFZ655254 RWD655253:RWD655254 RMH655253:RMH655254 RCL655253:RCL655254 QSP655253:QSP655254 QIT655253:QIT655254 PYX655253:PYX655254 PPB655253:PPB655254 PFF655253:PFF655254 OVJ655253:OVJ655254 OLN655253:OLN655254 OBR655253:OBR655254 NRV655253:NRV655254 NHZ655253:NHZ655254 MYD655253:MYD655254 MOH655253:MOH655254 MEL655253:MEL655254 LUP655253:LUP655254 LKT655253:LKT655254 LAX655253:LAX655254 KRB655253:KRB655254 KHF655253:KHF655254 JXJ655253:JXJ655254 JNN655253:JNN655254 JDR655253:JDR655254 ITV655253:ITV655254 IJZ655253:IJZ655254 IAD655253:IAD655254 HQH655253:HQH655254 HGL655253:HGL655254 GWP655253:GWP655254 GMT655253:GMT655254 GCX655253:GCX655254 FTB655253:FTB655254 FJF655253:FJF655254 EZJ655253:EZJ655254 EPN655253:EPN655254 EFR655253:EFR655254 DVV655253:DVV655254 DLZ655253:DLZ655254 DCD655253:DCD655254 CSH655253:CSH655254 CIL655253:CIL655254 BYP655253:BYP655254 BOT655253:BOT655254 BEX655253:BEX655254 AVB655253:AVB655254 ALF655253:ALF655254 ABJ655253:ABJ655254 RN655253:RN655254 HR655253:HR655254 WUD589717:WUD589718 WKH589717:WKH589718 WAL589717:WAL589718 VQP589717:VQP589718 VGT589717:VGT589718 UWX589717:UWX589718 UNB589717:UNB589718 UDF589717:UDF589718 TTJ589717:TTJ589718 TJN589717:TJN589718 SZR589717:SZR589718 SPV589717:SPV589718 SFZ589717:SFZ589718 RWD589717:RWD589718 RMH589717:RMH589718 RCL589717:RCL589718 QSP589717:QSP589718 QIT589717:QIT589718 PYX589717:PYX589718 PPB589717:PPB589718 PFF589717:PFF589718 OVJ589717:OVJ589718 OLN589717:OLN589718 OBR589717:OBR589718 NRV589717:NRV589718 NHZ589717:NHZ589718 MYD589717:MYD589718 MOH589717:MOH589718 MEL589717:MEL589718 LUP589717:LUP589718 LKT589717:LKT589718 LAX589717:LAX589718 KRB589717:KRB589718 KHF589717:KHF589718 JXJ589717:JXJ589718 JNN589717:JNN589718 JDR589717:JDR589718 ITV589717:ITV589718 IJZ589717:IJZ589718 IAD589717:IAD589718 HQH589717:HQH589718 HGL589717:HGL589718 GWP589717:GWP589718 GMT589717:GMT589718 GCX589717:GCX589718 FTB589717:FTB589718 FJF589717:FJF589718 EZJ589717:EZJ589718 EPN589717:EPN589718 EFR589717:EFR589718 DVV589717:DVV589718 DLZ589717:DLZ589718 DCD589717:DCD589718 CSH589717:CSH589718 CIL589717:CIL589718 BYP589717:BYP589718 BOT589717:BOT589718 BEX589717:BEX589718 AVB589717:AVB589718 ALF589717:ALF589718 ABJ589717:ABJ589718 RN589717:RN589718 HR589717:HR589718 WUD524181:WUD524182 WKH524181:WKH524182 WAL524181:WAL524182 VQP524181:VQP524182 VGT524181:VGT524182 UWX524181:UWX524182 UNB524181:UNB524182 UDF524181:UDF524182 TTJ524181:TTJ524182 TJN524181:TJN524182 SZR524181:SZR524182 SPV524181:SPV524182 SFZ524181:SFZ524182 RWD524181:RWD524182 RMH524181:RMH524182 RCL524181:RCL524182 QSP524181:QSP524182 QIT524181:QIT524182 PYX524181:PYX524182 PPB524181:PPB524182 PFF524181:PFF524182 OVJ524181:OVJ524182 OLN524181:OLN524182 OBR524181:OBR524182 NRV524181:NRV524182 NHZ524181:NHZ524182 MYD524181:MYD524182 MOH524181:MOH524182 MEL524181:MEL524182 LUP524181:LUP524182 LKT524181:LKT524182 LAX524181:LAX524182 KRB524181:KRB524182 KHF524181:KHF524182 JXJ524181:JXJ524182 JNN524181:JNN524182 JDR524181:JDR524182 ITV524181:ITV524182 IJZ524181:IJZ524182 IAD524181:IAD524182 HQH524181:HQH524182 HGL524181:HGL524182 GWP524181:GWP524182 GMT524181:GMT524182 GCX524181:GCX524182 FTB524181:FTB524182 FJF524181:FJF524182 EZJ524181:EZJ524182 EPN524181:EPN524182 EFR524181:EFR524182 DVV524181:DVV524182 DLZ524181:DLZ524182 DCD524181:DCD524182 CSH524181:CSH524182 CIL524181:CIL524182 BYP524181:BYP524182 BOT524181:BOT524182 BEX524181:BEX524182 AVB524181:AVB524182 ALF524181:ALF524182 ABJ524181:ABJ524182 RN524181:RN524182 HR524181:HR524182 WUD458645:WUD458646 WKH458645:WKH458646 WAL458645:WAL458646 VQP458645:VQP458646 VGT458645:VGT458646 UWX458645:UWX458646 UNB458645:UNB458646 UDF458645:UDF458646 TTJ458645:TTJ458646 TJN458645:TJN458646 SZR458645:SZR458646 SPV458645:SPV458646 SFZ458645:SFZ458646 RWD458645:RWD458646 RMH458645:RMH458646 RCL458645:RCL458646 QSP458645:QSP458646 QIT458645:QIT458646 PYX458645:PYX458646 PPB458645:PPB458646 PFF458645:PFF458646 OVJ458645:OVJ458646 OLN458645:OLN458646 OBR458645:OBR458646 NRV458645:NRV458646 NHZ458645:NHZ458646 MYD458645:MYD458646 MOH458645:MOH458646 MEL458645:MEL458646 LUP458645:LUP458646 LKT458645:LKT458646 LAX458645:LAX458646 KRB458645:KRB458646 KHF458645:KHF458646 JXJ458645:JXJ458646 JNN458645:JNN458646 JDR458645:JDR458646 ITV458645:ITV458646 IJZ458645:IJZ458646 IAD458645:IAD458646 HQH458645:HQH458646 HGL458645:HGL458646 GWP458645:GWP458646 GMT458645:GMT458646 GCX458645:GCX458646 FTB458645:FTB458646 FJF458645:FJF458646 EZJ458645:EZJ458646 EPN458645:EPN458646 EFR458645:EFR458646 DVV458645:DVV458646 DLZ458645:DLZ458646 DCD458645:DCD458646 CSH458645:CSH458646 CIL458645:CIL458646 BYP458645:BYP458646 BOT458645:BOT458646 BEX458645:BEX458646 AVB458645:AVB458646 ALF458645:ALF458646 ABJ458645:ABJ458646 RN458645:RN458646 HR458645:HR458646 WUD393109:WUD393110 WKH393109:WKH393110 WAL393109:WAL393110 VQP393109:VQP393110 VGT393109:VGT393110 UWX393109:UWX393110 UNB393109:UNB393110 UDF393109:UDF393110 TTJ393109:TTJ393110 TJN393109:TJN393110 SZR393109:SZR393110 SPV393109:SPV393110 SFZ393109:SFZ393110 RWD393109:RWD393110 RMH393109:RMH393110 RCL393109:RCL393110 QSP393109:QSP393110 QIT393109:QIT393110 PYX393109:PYX393110 PPB393109:PPB393110 PFF393109:PFF393110 OVJ393109:OVJ393110 OLN393109:OLN393110 OBR393109:OBR393110 NRV393109:NRV393110 NHZ393109:NHZ393110 MYD393109:MYD393110 MOH393109:MOH393110 MEL393109:MEL393110 LUP393109:LUP393110 LKT393109:LKT393110 LAX393109:LAX393110 KRB393109:KRB393110 KHF393109:KHF393110 JXJ393109:JXJ393110 JNN393109:JNN393110 JDR393109:JDR393110 ITV393109:ITV393110 IJZ393109:IJZ393110 IAD393109:IAD393110 HQH393109:HQH393110 HGL393109:HGL393110 GWP393109:GWP393110 GMT393109:GMT393110 GCX393109:GCX393110 FTB393109:FTB393110 FJF393109:FJF393110 EZJ393109:EZJ393110 EPN393109:EPN393110 EFR393109:EFR393110 DVV393109:DVV393110 DLZ393109:DLZ393110 DCD393109:DCD393110 CSH393109:CSH393110 CIL393109:CIL393110 BYP393109:BYP393110 BOT393109:BOT393110 BEX393109:BEX393110 AVB393109:AVB393110 ALF393109:ALF393110 ABJ393109:ABJ393110 RN393109:RN393110 HR393109:HR393110 WUD327573:WUD327574 WKH327573:WKH327574 WAL327573:WAL327574 VQP327573:VQP327574 VGT327573:VGT327574 UWX327573:UWX327574 UNB327573:UNB327574 UDF327573:UDF327574 TTJ327573:TTJ327574 TJN327573:TJN327574 SZR327573:SZR327574 SPV327573:SPV327574 SFZ327573:SFZ327574 RWD327573:RWD327574 RMH327573:RMH327574 RCL327573:RCL327574 QSP327573:QSP327574 QIT327573:QIT327574 PYX327573:PYX327574 PPB327573:PPB327574 PFF327573:PFF327574 OVJ327573:OVJ327574 OLN327573:OLN327574 OBR327573:OBR327574 NRV327573:NRV327574 NHZ327573:NHZ327574 MYD327573:MYD327574 MOH327573:MOH327574 MEL327573:MEL327574 LUP327573:LUP327574 LKT327573:LKT327574 LAX327573:LAX327574 KRB327573:KRB327574 KHF327573:KHF327574 JXJ327573:JXJ327574 JNN327573:JNN327574 JDR327573:JDR327574 ITV327573:ITV327574 IJZ327573:IJZ327574 IAD327573:IAD327574 HQH327573:HQH327574 HGL327573:HGL327574 GWP327573:GWP327574 GMT327573:GMT327574 GCX327573:GCX327574 FTB327573:FTB327574 FJF327573:FJF327574 EZJ327573:EZJ327574 EPN327573:EPN327574 EFR327573:EFR327574 DVV327573:DVV327574 DLZ327573:DLZ327574 DCD327573:DCD327574 CSH327573:CSH327574 CIL327573:CIL327574 BYP327573:BYP327574 BOT327573:BOT327574 BEX327573:BEX327574 AVB327573:AVB327574 ALF327573:ALF327574 ABJ327573:ABJ327574 RN327573:RN327574 HR327573:HR327574 WUD262037:WUD262038 WKH262037:WKH262038 WAL262037:WAL262038 VQP262037:VQP262038 VGT262037:VGT262038 UWX262037:UWX262038 UNB262037:UNB262038 UDF262037:UDF262038 TTJ262037:TTJ262038 TJN262037:TJN262038 SZR262037:SZR262038 SPV262037:SPV262038 SFZ262037:SFZ262038 RWD262037:RWD262038 RMH262037:RMH262038 RCL262037:RCL262038 QSP262037:QSP262038 QIT262037:QIT262038 PYX262037:PYX262038 PPB262037:PPB262038 PFF262037:PFF262038 OVJ262037:OVJ262038 OLN262037:OLN262038 OBR262037:OBR262038 NRV262037:NRV262038 NHZ262037:NHZ262038 MYD262037:MYD262038 MOH262037:MOH262038 MEL262037:MEL262038 LUP262037:LUP262038 LKT262037:LKT262038 LAX262037:LAX262038 KRB262037:KRB262038 KHF262037:KHF262038 JXJ262037:JXJ262038 JNN262037:JNN262038 JDR262037:JDR262038 ITV262037:ITV262038 IJZ262037:IJZ262038 IAD262037:IAD262038 HQH262037:HQH262038 HGL262037:HGL262038 GWP262037:GWP262038 GMT262037:GMT262038 GCX262037:GCX262038 FTB262037:FTB262038 FJF262037:FJF262038 EZJ262037:EZJ262038 EPN262037:EPN262038 EFR262037:EFR262038 DVV262037:DVV262038 DLZ262037:DLZ262038 DCD262037:DCD262038 CSH262037:CSH262038 CIL262037:CIL262038 BYP262037:BYP262038 BOT262037:BOT262038 BEX262037:BEX262038 AVB262037:AVB262038 ALF262037:ALF262038 ABJ262037:ABJ262038 RN262037:RN262038 HR262037:HR262038 WUD196501:WUD196502 WKH196501:WKH196502 WAL196501:WAL196502 VQP196501:VQP196502 VGT196501:VGT196502 UWX196501:UWX196502 UNB196501:UNB196502 UDF196501:UDF196502 TTJ196501:TTJ196502 TJN196501:TJN196502 SZR196501:SZR196502 SPV196501:SPV196502 SFZ196501:SFZ196502 RWD196501:RWD196502 RMH196501:RMH196502 RCL196501:RCL196502 QSP196501:QSP196502 QIT196501:QIT196502 PYX196501:PYX196502 PPB196501:PPB196502 PFF196501:PFF196502 OVJ196501:OVJ196502 OLN196501:OLN196502 OBR196501:OBR196502 NRV196501:NRV196502 NHZ196501:NHZ196502 MYD196501:MYD196502 MOH196501:MOH196502 MEL196501:MEL196502 LUP196501:LUP196502 LKT196501:LKT196502 LAX196501:LAX196502 KRB196501:KRB196502 KHF196501:KHF196502 JXJ196501:JXJ196502 JNN196501:JNN196502 JDR196501:JDR196502 ITV196501:ITV196502 IJZ196501:IJZ196502 IAD196501:IAD196502 HQH196501:HQH196502 HGL196501:HGL196502 GWP196501:GWP196502 GMT196501:GMT196502 GCX196501:GCX196502 FTB196501:FTB196502 FJF196501:FJF196502 EZJ196501:EZJ196502 EPN196501:EPN196502 EFR196501:EFR196502 DVV196501:DVV196502 DLZ196501:DLZ196502 DCD196501:DCD196502 CSH196501:CSH196502 CIL196501:CIL196502 BYP196501:BYP196502 BOT196501:BOT196502 BEX196501:BEX196502 AVB196501:AVB196502 ALF196501:ALF196502 ABJ196501:ABJ196502 RN196501:RN196502 HR196501:HR196502 WUD130965:WUD130966 WKH130965:WKH130966 WAL130965:WAL130966 VQP130965:VQP130966 VGT130965:VGT130966 UWX130965:UWX130966 UNB130965:UNB130966 UDF130965:UDF130966 TTJ130965:TTJ130966 TJN130965:TJN130966 SZR130965:SZR130966 SPV130965:SPV130966 SFZ130965:SFZ130966 RWD130965:RWD130966 RMH130965:RMH130966 RCL130965:RCL130966 QSP130965:QSP130966 QIT130965:QIT130966 PYX130965:PYX130966 PPB130965:PPB130966 PFF130965:PFF130966 OVJ130965:OVJ130966 OLN130965:OLN130966 OBR130965:OBR130966 NRV130965:NRV130966 NHZ130965:NHZ130966 MYD130965:MYD130966 MOH130965:MOH130966 MEL130965:MEL130966 LUP130965:LUP130966 LKT130965:LKT130966 LAX130965:LAX130966 KRB130965:KRB130966 KHF130965:KHF130966 JXJ130965:JXJ130966 JNN130965:JNN130966 JDR130965:JDR130966 ITV130965:ITV130966 IJZ130965:IJZ130966 IAD130965:IAD130966 HQH130965:HQH130966 HGL130965:HGL130966 GWP130965:GWP130966 GMT130965:GMT130966 GCX130965:GCX130966 FTB130965:FTB130966 FJF130965:FJF130966 EZJ130965:EZJ130966 EPN130965:EPN130966 EFR130965:EFR130966 DVV130965:DVV130966 DLZ130965:DLZ130966 DCD130965:DCD130966 CSH130965:CSH130966 CIL130965:CIL130966 BYP130965:BYP130966 BOT130965:BOT130966 BEX130965:BEX130966 AVB130965:AVB130966 ALF130965:ALF130966 ABJ130965:ABJ130966 RN130965:RN130966 HR130965:HR130966 WUD65429:WUD65430 WKH65429:WKH65430 WAL65429:WAL65430 VQP65429:VQP65430 VGT65429:VGT65430 UWX65429:UWX65430 UNB65429:UNB65430 UDF65429:UDF65430 TTJ65429:TTJ65430 TJN65429:TJN65430 SZR65429:SZR65430 SPV65429:SPV65430 SFZ65429:SFZ65430 RWD65429:RWD65430 RMH65429:RMH65430 RCL65429:RCL65430 QSP65429:QSP65430 QIT65429:QIT65430 PYX65429:PYX65430 PPB65429:PPB65430 PFF65429:PFF65430 OVJ65429:OVJ65430 OLN65429:OLN65430 OBR65429:OBR65430 NRV65429:NRV65430 NHZ65429:NHZ65430 MYD65429:MYD65430 MOH65429:MOH65430 MEL65429:MEL65430 LUP65429:LUP65430 LKT65429:LKT65430 LAX65429:LAX65430 KRB65429:KRB65430 KHF65429:KHF65430 JXJ65429:JXJ65430 JNN65429:JNN65430 JDR65429:JDR65430 ITV65429:ITV65430 IJZ65429:IJZ65430 IAD65429:IAD65430 HQH65429:HQH65430 HGL65429:HGL65430 GWP65429:GWP65430 GMT65429:GMT65430 GCX65429:GCX65430 FTB65429:FTB65430 FJF65429:FJF65430 EZJ65429:EZJ65430 EPN65429:EPN65430 EFR65429:EFR65430 DVV65429:DVV65430 DLZ65429:DLZ65430 DCD65429:DCD65430 CSH65429:CSH65430 CIL65429:CIL65430 BYP65429:BYP65430 BOT65429:BOT65430 BEX65429:BEX65430 AVB65429:AVB65430 ALF65429:ALF65430 ABJ65429:ABJ65430 RN65429:RN65430 HR65429:HR65430 WUD982957 WKH982957 WAL982957 VQP982957 VGT982957 UWX982957 UNB982957 UDF982957 TTJ982957 TJN982957 SZR982957 SPV982957 SFZ982957 RWD982957 RMH982957 RCL982957 QSP982957 QIT982957 PYX982957 PPB982957 PFF982957 OVJ982957 OLN982957 OBR982957 NRV982957 NHZ982957 MYD982957 MOH982957 MEL982957 LUP982957 LKT982957 LAX982957 KRB982957 KHF982957 JXJ982957 JNN982957 JDR982957 ITV982957 IJZ982957 IAD982957 HQH982957 HGL982957 GWP982957 GMT982957 GCX982957 FTB982957 FJF982957 EZJ982957 EPN982957 EFR982957 DVV982957 DLZ982957 DCD982957 CSH982957 CIL982957 BYP982957 BOT982957 BEX982957 AVB982957 ALF982957 ABJ982957 RN982957 HR982957 WUD917421 WKH917421 WAL917421 VQP917421 VGT917421 UWX917421 UNB917421 UDF917421 TTJ917421 TJN917421 SZR917421 SPV917421 SFZ917421 RWD917421 RMH917421 RCL917421 QSP917421 QIT917421 PYX917421 PPB917421 PFF917421 OVJ917421 OLN917421 OBR917421 NRV917421 NHZ917421 MYD917421 MOH917421 MEL917421 LUP917421 LKT917421 LAX917421 KRB917421 KHF917421 JXJ917421 JNN917421 JDR917421 ITV917421 IJZ917421 IAD917421 HQH917421 HGL917421 GWP917421 GMT917421 GCX917421 FTB917421 FJF917421 EZJ917421 EPN917421 EFR917421 DVV917421 DLZ917421 DCD917421 CSH917421 CIL917421 BYP917421 BOT917421 BEX917421 AVB917421 ALF917421 ABJ917421 RN917421 HR917421 WUD851885 WKH851885 WAL851885 VQP851885 VGT851885 UWX851885 UNB851885 UDF851885 TTJ851885 TJN851885 SZR851885 SPV851885 SFZ851885 RWD851885 RMH851885 RCL851885 QSP851885 QIT851885 PYX851885 PPB851885 PFF851885 OVJ851885 OLN851885 OBR851885 NRV851885 NHZ851885 MYD851885 MOH851885 MEL851885 LUP851885 LKT851885 LAX851885 KRB851885 KHF851885 JXJ851885 JNN851885 JDR851885 ITV851885 IJZ851885 IAD851885 HQH851885 HGL851885 GWP851885 GMT851885 GCX851885 FTB851885 FJF851885 EZJ851885 EPN851885 EFR851885 DVV851885 DLZ851885 DCD851885 CSH851885 CIL851885 BYP851885 BOT851885 BEX851885 AVB851885 ALF851885 ABJ851885 RN851885 HR851885 WUD786349 WKH786349 WAL786349 VQP786349 VGT786349 UWX786349 UNB786349 UDF786349 TTJ786349 TJN786349 SZR786349 SPV786349 SFZ786349 RWD786349 RMH786349 RCL786349 QSP786349 QIT786349 PYX786349 PPB786349 PFF786349 OVJ786349 OLN786349 OBR786349 NRV786349 NHZ786349 MYD786349 MOH786349 MEL786349 LUP786349 LKT786349 LAX786349 KRB786349 KHF786349 JXJ786349 JNN786349 JDR786349 ITV786349 IJZ786349 IAD786349 HQH786349 HGL786349 GWP786349 GMT786349 GCX786349 FTB786349 FJF786349 EZJ786349 EPN786349 EFR786349 DVV786349 DLZ786349 DCD786349 CSH786349 CIL786349 BYP786349 BOT786349 BEX786349 AVB786349 ALF786349 ABJ786349 RN786349 HR786349 WUD720813 WKH720813 WAL720813 VQP720813 VGT720813 UWX720813 UNB720813 UDF720813 TTJ720813 TJN720813 SZR720813 SPV720813 SFZ720813 RWD720813 RMH720813 RCL720813 QSP720813 QIT720813 PYX720813 PPB720813 PFF720813 OVJ720813 OLN720813 OBR720813 NRV720813 NHZ720813 MYD720813 MOH720813 MEL720813 LUP720813 LKT720813 LAX720813 KRB720813 KHF720813 JXJ720813 JNN720813 JDR720813 ITV720813 IJZ720813 IAD720813 HQH720813 HGL720813 GWP720813 GMT720813 GCX720813 FTB720813 FJF720813 EZJ720813 EPN720813 EFR720813 DVV720813 DLZ720813 DCD720813 CSH720813 CIL720813 BYP720813 BOT720813 BEX720813 AVB720813 ALF720813 ABJ720813 RN720813 HR720813 WUD655277 WKH655277 WAL655277 VQP655277 VGT655277 UWX655277 UNB655277 UDF655277 TTJ655277 TJN655277 SZR655277 SPV655277 SFZ655277 RWD655277 RMH655277 RCL655277 QSP655277 QIT655277 PYX655277 PPB655277 PFF655277 OVJ655277 OLN655277 OBR655277 NRV655277 NHZ655277 MYD655277 MOH655277 MEL655277 LUP655277 LKT655277 LAX655277 KRB655277 KHF655277 JXJ655277 JNN655277 JDR655277 ITV655277 IJZ655277 IAD655277 HQH655277 HGL655277 GWP655277 GMT655277 GCX655277 FTB655277 FJF655277 EZJ655277 EPN655277 EFR655277 DVV655277 DLZ655277 DCD655277 CSH655277 CIL655277 BYP655277 BOT655277 BEX655277 AVB655277 ALF655277 ABJ655277 RN655277 HR655277 WUD589741 WKH589741 WAL589741 VQP589741 VGT589741 UWX589741 UNB589741 UDF589741 TTJ589741 TJN589741 SZR589741 SPV589741 SFZ589741 RWD589741 RMH589741 RCL589741 QSP589741 QIT589741 PYX589741 PPB589741 PFF589741 OVJ589741 OLN589741 OBR589741 NRV589741 NHZ589741 MYD589741 MOH589741 MEL589741 LUP589741 LKT589741 LAX589741 KRB589741 KHF589741 JXJ589741 JNN589741 JDR589741 ITV589741 IJZ589741 IAD589741 HQH589741 HGL589741 GWP589741 GMT589741 GCX589741 FTB589741 FJF589741 EZJ589741 EPN589741 EFR589741 DVV589741 DLZ589741 DCD589741 CSH589741 CIL589741 BYP589741 BOT589741 BEX589741 AVB589741 ALF589741 ABJ589741 RN589741 HR589741 WUD524205 WKH524205 WAL524205 VQP524205 VGT524205 UWX524205 UNB524205 UDF524205 TTJ524205 TJN524205 SZR524205 SPV524205 SFZ524205 RWD524205 RMH524205 RCL524205 QSP524205 QIT524205 PYX524205 PPB524205 PFF524205 OVJ524205 OLN524205 OBR524205 NRV524205 NHZ524205 MYD524205 MOH524205 MEL524205 LUP524205 LKT524205 LAX524205 KRB524205 KHF524205 JXJ524205 JNN524205 JDR524205 ITV524205 IJZ524205 IAD524205 HQH524205 HGL524205 GWP524205 GMT524205 GCX524205 FTB524205 FJF524205 EZJ524205 EPN524205 EFR524205 DVV524205 DLZ524205 DCD524205 CSH524205 CIL524205 BYP524205 BOT524205 BEX524205 AVB524205 ALF524205 ABJ524205 RN524205 HR524205 WUD458669 WKH458669 WAL458669 VQP458669 VGT458669 UWX458669 UNB458669 UDF458669 TTJ458669 TJN458669 SZR458669 SPV458669 SFZ458669 RWD458669 RMH458669 RCL458669 QSP458669 QIT458669 PYX458669 PPB458669 PFF458669 OVJ458669 OLN458669 OBR458669 NRV458669 NHZ458669 MYD458669 MOH458669 MEL458669 LUP458669 LKT458669 LAX458669 KRB458669 KHF458669 JXJ458669 JNN458669 JDR458669 ITV458669 IJZ458669 IAD458669 HQH458669 HGL458669 GWP458669 GMT458669 GCX458669 FTB458669 FJF458669 EZJ458669 EPN458669 EFR458669 DVV458669 DLZ458669 DCD458669 CSH458669 CIL458669 BYP458669 BOT458669 BEX458669 AVB458669 ALF458669 ABJ458669 RN458669 HR458669 WUD393133 WKH393133 WAL393133 VQP393133 VGT393133 UWX393133 UNB393133 UDF393133 TTJ393133 TJN393133 SZR393133 SPV393133 SFZ393133 RWD393133 RMH393133 RCL393133 QSP393133 QIT393133 PYX393133 PPB393133 PFF393133 OVJ393133 OLN393133 OBR393133 NRV393133 NHZ393133 MYD393133 MOH393133 MEL393133 LUP393133 LKT393133 LAX393133 KRB393133 KHF393133 JXJ393133 JNN393133 JDR393133 ITV393133 IJZ393133 IAD393133 HQH393133 HGL393133 GWP393133 GMT393133 GCX393133 FTB393133 FJF393133 EZJ393133 EPN393133 EFR393133 DVV393133 DLZ393133 DCD393133 CSH393133 CIL393133 BYP393133 BOT393133 BEX393133 AVB393133 ALF393133 ABJ393133 RN393133 HR393133 WUD327597 WKH327597 WAL327597 VQP327597 VGT327597 UWX327597 UNB327597 UDF327597 TTJ327597 TJN327597 SZR327597 SPV327597 SFZ327597 RWD327597 RMH327597 RCL327597 QSP327597 QIT327597 PYX327597 PPB327597 PFF327597 OVJ327597 OLN327597 OBR327597 NRV327597 NHZ327597 MYD327597 MOH327597 MEL327597 LUP327597 LKT327597 LAX327597 KRB327597 KHF327597 JXJ327597 JNN327597 JDR327597 ITV327597 IJZ327597 IAD327597 HQH327597 HGL327597 GWP327597 GMT327597 GCX327597 FTB327597 FJF327597 EZJ327597 EPN327597 EFR327597 DVV327597 DLZ327597 DCD327597 CSH327597 CIL327597 BYP327597 BOT327597 BEX327597 AVB327597 ALF327597 ABJ327597 RN327597 HR327597 WUD262061 WKH262061 WAL262061 VQP262061 VGT262061 UWX262061 UNB262061 UDF262061 TTJ262061 TJN262061 SZR262061 SPV262061 SFZ262061 RWD262061 RMH262061 RCL262061 QSP262061 QIT262061 PYX262061 PPB262061 PFF262061 OVJ262061 OLN262061 OBR262061 NRV262061 NHZ262061 MYD262061 MOH262061 MEL262061 LUP262061 LKT262061 LAX262061 KRB262061 KHF262061 JXJ262061 JNN262061 JDR262061 ITV262061 IJZ262061 IAD262061 HQH262061 HGL262061 GWP262061 GMT262061 GCX262061 FTB262061 FJF262061 EZJ262061 EPN262061 EFR262061 DVV262061 DLZ262061 DCD262061 CSH262061 CIL262061 BYP262061 BOT262061 BEX262061 AVB262061 ALF262061 ABJ262061 RN262061 HR262061 WUD196525 WKH196525 WAL196525 VQP196525 VGT196525 UWX196525 UNB196525 UDF196525 TTJ196525 TJN196525 SZR196525 SPV196525 SFZ196525 RWD196525 RMH196525 RCL196525 QSP196525 QIT196525 PYX196525 PPB196525 PFF196525 OVJ196525 OLN196525 OBR196525 NRV196525 NHZ196525 MYD196525 MOH196525 MEL196525 LUP196525 LKT196525 LAX196525 KRB196525 KHF196525 JXJ196525 JNN196525 JDR196525 ITV196525 IJZ196525 IAD196525 HQH196525 HGL196525 GWP196525 GMT196525 GCX196525 FTB196525 FJF196525 EZJ196525 EPN196525 EFR196525 DVV196525 DLZ196525 DCD196525 CSH196525 CIL196525 BYP196525 BOT196525 BEX196525 AVB196525 ALF196525 ABJ196525 RN196525 HR196525 WUD130989 WKH130989 WAL130989 VQP130989 VGT130989 UWX130989 UNB130989 UDF130989 TTJ130989 TJN130989 SZR130989 SPV130989 SFZ130989 RWD130989 RMH130989 RCL130989 QSP130989 QIT130989 PYX130989 PPB130989 PFF130989 OVJ130989 OLN130989 OBR130989 NRV130989 NHZ130989 MYD130989 MOH130989 MEL130989 LUP130989 LKT130989 LAX130989 KRB130989 KHF130989 JXJ130989 JNN130989 JDR130989 ITV130989 IJZ130989 IAD130989 HQH130989 HGL130989 GWP130989 GMT130989 GCX130989 FTB130989 FJF130989 EZJ130989 EPN130989 EFR130989 DVV130989 DLZ130989 DCD130989 CSH130989 CIL130989 BYP130989 BOT130989 BEX130989 AVB130989 ALF130989 ABJ130989 RN130989 HR130989 WUD65453 WKH65453 WAL65453 VQP65453 VGT65453 UWX65453 UNB65453 UDF65453 TTJ65453 TJN65453 SZR65453 SPV65453 SFZ65453 RWD65453 RMH65453 RCL65453 QSP65453 QIT65453 PYX65453 PPB65453 PFF65453 OVJ65453 OLN65453 OBR65453 NRV65453 NHZ65453 MYD65453 MOH65453 MEL65453 LUP65453 LKT65453 LAX65453 KRB65453 KHF65453 JXJ65453 JNN65453 JDR65453 ITV65453 IJZ65453 IAD65453 HQH65453 HGL65453 GWP65453 GMT65453 GCX65453 FTB65453 FJF65453 EZJ65453 EPN65453 EFR65453 DVV65453 DLZ65453 DCD65453 CSH65453 CIL65453 BYP65453 BOT65453 BEX65453 AVB65453 ALF65453 ABJ65453 RN65453 HR65453 WUD983011 WKH983011 WAL983011 VQP983011 VGT983011 UWX983011 UNB983011 UDF983011 TTJ983011 TJN983011 SZR983011 SPV983011 SFZ983011 RWD983011 RMH983011 RCL983011 QSP983011 QIT983011 PYX983011 PPB983011 PFF983011 OVJ983011 OLN983011 OBR983011 NRV983011 NHZ983011 MYD983011 MOH983011 MEL983011 LUP983011 LKT983011 LAX983011 KRB983011 KHF983011 JXJ983011 JNN983011 JDR983011 ITV983011 IJZ983011 IAD983011 HQH983011 HGL983011 GWP983011 GMT983011 GCX983011 FTB983011 FJF983011 EZJ983011 EPN983011 EFR983011 DVV983011 DLZ983011 DCD983011 CSH983011 CIL983011 BYP983011 BOT983011 BEX983011 AVB983011 ALF983011 ABJ983011 RN983011 HR983011 WUD917475 WKH917475 WAL917475 VQP917475 VGT917475 UWX917475 UNB917475 UDF917475 TTJ917475 TJN917475 SZR917475 SPV917475 SFZ917475 RWD917475 RMH917475 RCL917475 QSP917475 QIT917475 PYX917475 PPB917475 PFF917475 OVJ917475 OLN917475 OBR917475 NRV917475 NHZ917475 MYD917475 MOH917475 MEL917475 LUP917475 LKT917475 LAX917475 KRB917475 KHF917475 JXJ917475 JNN917475 JDR917475 ITV917475 IJZ917475 IAD917475 HQH917475 HGL917475 GWP917475 GMT917475 GCX917475 FTB917475 FJF917475 EZJ917475 EPN917475 EFR917475 DVV917475 DLZ917475 DCD917475 CSH917475 CIL917475 BYP917475 BOT917475 BEX917475 AVB917475 ALF917475 ABJ917475 RN917475 HR917475 WUD851939 WKH851939 WAL851939 VQP851939 VGT851939 UWX851939 UNB851939 UDF851939 TTJ851939 TJN851939 SZR851939 SPV851939 SFZ851939 RWD851939 RMH851939 RCL851939 QSP851939 QIT851939 PYX851939 PPB851939 PFF851939 OVJ851939 OLN851939 OBR851939 NRV851939 NHZ851939 MYD851939 MOH851939 MEL851939 LUP851939 LKT851939 LAX851939 KRB851939 KHF851939 JXJ851939 JNN851939 JDR851939 ITV851939 IJZ851939 IAD851939 HQH851939 HGL851939 GWP851939 GMT851939 GCX851939 FTB851939 FJF851939 EZJ851939 EPN851939 EFR851939 DVV851939 DLZ851939 DCD851939 CSH851939 CIL851939 BYP851939 BOT851939 BEX851939 AVB851939 ALF851939 ABJ851939 RN851939 HR851939 WUD786403 WKH786403 WAL786403 VQP786403 VGT786403 UWX786403 UNB786403 UDF786403 TTJ786403 TJN786403 SZR786403 SPV786403 SFZ786403 RWD786403 RMH786403 RCL786403 QSP786403 QIT786403 PYX786403 PPB786403 PFF786403 OVJ786403 OLN786403 OBR786403 NRV786403 NHZ786403 MYD786403 MOH786403 MEL786403 LUP786403 LKT786403 LAX786403 KRB786403 KHF786403 JXJ786403 JNN786403 JDR786403 ITV786403 IJZ786403 IAD786403 HQH786403 HGL786403 GWP786403 GMT786403 GCX786403 FTB786403 FJF786403 EZJ786403 EPN786403 EFR786403 DVV786403 DLZ786403 DCD786403 CSH786403 CIL786403 BYP786403 BOT786403 BEX786403 AVB786403 ALF786403 ABJ786403 RN786403 HR786403 WUD720867 WKH720867 WAL720867 VQP720867 VGT720867 UWX720867 UNB720867 UDF720867 TTJ720867 TJN720867 SZR720867 SPV720867 SFZ720867 RWD720867 RMH720867 RCL720867 QSP720867 QIT720867 PYX720867 PPB720867 PFF720867 OVJ720867 OLN720867 OBR720867 NRV720867 NHZ720867 MYD720867 MOH720867 MEL720867 LUP720867 LKT720867 LAX720867 KRB720867 KHF720867 JXJ720867 JNN720867 JDR720867 ITV720867 IJZ720867 IAD720867 HQH720867 HGL720867 GWP720867 GMT720867 GCX720867 FTB720867 FJF720867 EZJ720867 EPN720867 EFR720867 DVV720867 DLZ720867 DCD720867 CSH720867 CIL720867 BYP720867 BOT720867 BEX720867 AVB720867 ALF720867 ABJ720867 RN720867 HR720867 WUD655331 WKH655331 WAL655331 VQP655331 VGT655331 UWX655331 UNB655331 UDF655331 TTJ655331 TJN655331 SZR655331 SPV655331 SFZ655331 RWD655331 RMH655331 RCL655331 QSP655331 QIT655331 PYX655331 PPB655331 PFF655331 OVJ655331 OLN655331 OBR655331 NRV655331 NHZ655331 MYD655331 MOH655331 MEL655331 LUP655331 LKT655331 LAX655331 KRB655331 KHF655331 JXJ655331 JNN655331 JDR655331 ITV655331 IJZ655331 IAD655331 HQH655331 HGL655331 GWP655331 GMT655331 GCX655331 FTB655331 FJF655331 EZJ655331 EPN655331 EFR655331 DVV655331 DLZ655331 DCD655331 CSH655331 CIL655331 BYP655331 BOT655331 BEX655331 AVB655331 ALF655331 ABJ655331 RN655331 HR655331 WUD589795 WKH589795 WAL589795 VQP589795 VGT589795 UWX589795 UNB589795 UDF589795 TTJ589795 TJN589795 SZR589795 SPV589795 SFZ589795 RWD589795 RMH589795 RCL589795 QSP589795 QIT589795 PYX589795 PPB589795 PFF589795 OVJ589795 OLN589795 OBR589795 NRV589795 NHZ589795 MYD589795 MOH589795 MEL589795 LUP589795 LKT589795 LAX589795 KRB589795 KHF589795 JXJ589795 JNN589795 JDR589795 ITV589795 IJZ589795 IAD589795 HQH589795 HGL589795 GWP589795 GMT589795 GCX589795 FTB589795 FJF589795 EZJ589795 EPN589795 EFR589795 DVV589795 DLZ589795 DCD589795 CSH589795 CIL589795 BYP589795 BOT589795 BEX589795 AVB589795 ALF589795 ABJ589795 RN589795 HR589795 WUD524259 WKH524259 WAL524259 VQP524259 VGT524259 UWX524259 UNB524259 UDF524259 TTJ524259 TJN524259 SZR524259 SPV524259 SFZ524259 RWD524259 RMH524259 RCL524259 QSP524259 QIT524259 PYX524259 PPB524259 PFF524259 OVJ524259 OLN524259 OBR524259 NRV524259 NHZ524259 MYD524259 MOH524259 MEL524259 LUP524259 LKT524259 LAX524259 KRB524259 KHF524259 JXJ524259 JNN524259 JDR524259 ITV524259 IJZ524259 IAD524259 HQH524259 HGL524259 GWP524259 GMT524259 GCX524259 FTB524259 FJF524259 EZJ524259 EPN524259 EFR524259 DVV524259 DLZ524259 DCD524259 CSH524259 CIL524259 BYP524259 BOT524259 BEX524259 AVB524259 ALF524259 ABJ524259 RN524259 HR524259 WUD458723 WKH458723 WAL458723 VQP458723 VGT458723 UWX458723 UNB458723 UDF458723 TTJ458723 TJN458723 SZR458723 SPV458723 SFZ458723 RWD458723 RMH458723 RCL458723 QSP458723 QIT458723 PYX458723 PPB458723 PFF458723 OVJ458723 OLN458723 OBR458723 NRV458723 NHZ458723 MYD458723 MOH458723 MEL458723 LUP458723 LKT458723 LAX458723 KRB458723 KHF458723 JXJ458723 JNN458723 JDR458723 ITV458723 IJZ458723 IAD458723 HQH458723 HGL458723 GWP458723 GMT458723 GCX458723 FTB458723 FJF458723 EZJ458723 EPN458723 EFR458723 DVV458723 DLZ458723 DCD458723 CSH458723 CIL458723 BYP458723 BOT458723 BEX458723 AVB458723 ALF458723 ABJ458723 RN458723 HR458723 WUD393187 WKH393187 WAL393187 VQP393187 VGT393187 UWX393187 UNB393187 UDF393187 TTJ393187 TJN393187 SZR393187 SPV393187 SFZ393187 RWD393187 RMH393187 RCL393187 QSP393187 QIT393187 PYX393187 PPB393187 PFF393187 OVJ393187 OLN393187 OBR393187 NRV393187 NHZ393187 MYD393187 MOH393187 MEL393187 LUP393187 LKT393187 LAX393187 KRB393187 KHF393187 JXJ393187 JNN393187 JDR393187 ITV393187 IJZ393187 IAD393187 HQH393187 HGL393187 GWP393187 GMT393187 GCX393187 FTB393187 FJF393187 EZJ393187 EPN393187 EFR393187 DVV393187 DLZ393187 DCD393187 CSH393187 CIL393187 BYP393187 BOT393187 BEX393187 AVB393187 ALF393187 ABJ393187 RN393187 HR393187 WUD327651 WKH327651 WAL327651 VQP327651 VGT327651 UWX327651 UNB327651 UDF327651 TTJ327651 TJN327651 SZR327651 SPV327651 SFZ327651 RWD327651 RMH327651 RCL327651 QSP327651 QIT327651 PYX327651 PPB327651 PFF327651 OVJ327651 OLN327651 OBR327651 NRV327651 NHZ327651 MYD327651 MOH327651 MEL327651 LUP327651 LKT327651 LAX327651 KRB327651 KHF327651 JXJ327651 JNN327651 JDR327651 ITV327651 IJZ327651 IAD327651 HQH327651 HGL327651 GWP327651 GMT327651 GCX327651 FTB327651 FJF327651 EZJ327651 EPN327651 EFR327651 DVV327651 DLZ327651 DCD327651 CSH327651 CIL327651 BYP327651 BOT327651 BEX327651 AVB327651 ALF327651 ABJ327651 RN327651 HR327651 WUD262115 WKH262115 WAL262115 VQP262115 VGT262115 UWX262115 UNB262115 UDF262115 TTJ262115 TJN262115 SZR262115 SPV262115 SFZ262115 RWD262115 RMH262115 RCL262115 QSP262115 QIT262115 PYX262115 PPB262115 PFF262115 OVJ262115 OLN262115 OBR262115 NRV262115 NHZ262115 MYD262115 MOH262115 MEL262115 LUP262115 LKT262115 LAX262115 KRB262115 KHF262115 JXJ262115 JNN262115 JDR262115 ITV262115 IJZ262115 IAD262115 HQH262115 HGL262115 GWP262115 GMT262115 GCX262115 FTB262115 FJF262115 EZJ262115 EPN262115 EFR262115 DVV262115 DLZ262115 DCD262115 CSH262115 CIL262115 BYP262115 BOT262115 BEX262115 AVB262115 ALF262115 ABJ262115 RN262115 HR262115 WUD196579 WKH196579 WAL196579 VQP196579 VGT196579 UWX196579 UNB196579 UDF196579 TTJ196579 TJN196579 SZR196579 SPV196579 SFZ196579 RWD196579 RMH196579 RCL196579 QSP196579 QIT196579 PYX196579 PPB196579 PFF196579 OVJ196579 OLN196579 OBR196579 NRV196579 NHZ196579 MYD196579 MOH196579 MEL196579 LUP196579 LKT196579 LAX196579 KRB196579 KHF196579 JXJ196579 JNN196579 JDR196579 ITV196579 IJZ196579 IAD196579 HQH196579 HGL196579 GWP196579 GMT196579 GCX196579 FTB196579 FJF196579 EZJ196579 EPN196579 EFR196579 DVV196579 DLZ196579 DCD196579 CSH196579 CIL196579 BYP196579 BOT196579 BEX196579 AVB196579 ALF196579 ABJ196579 RN196579 HR196579 WUD131043 WKH131043 WAL131043 VQP131043 VGT131043 UWX131043 UNB131043 UDF131043 TTJ131043 TJN131043 SZR131043 SPV131043 SFZ131043 RWD131043 RMH131043 RCL131043 QSP131043 QIT131043 PYX131043 PPB131043 PFF131043 OVJ131043 OLN131043 OBR131043 NRV131043 NHZ131043 MYD131043 MOH131043 MEL131043 LUP131043 LKT131043 LAX131043 KRB131043 KHF131043 JXJ131043 JNN131043 JDR131043 ITV131043 IJZ131043 IAD131043 HQH131043 HGL131043 GWP131043 GMT131043 GCX131043 FTB131043 FJF131043 EZJ131043 EPN131043 EFR131043 DVV131043 DLZ131043 DCD131043 CSH131043 CIL131043 BYP131043 BOT131043 BEX131043 AVB131043 ALF131043 ABJ131043 RN131043 HR131043 WUD65507 WKH65507 WAL65507 VQP65507 VGT65507 UWX65507 UNB65507 UDF65507 TTJ65507 TJN65507 SZR65507 SPV65507 SFZ65507 RWD65507 RMH65507 RCL65507 QSP65507 QIT65507 PYX65507 PPB65507 PFF65507 OVJ65507 OLN65507 OBR65507 NRV65507 NHZ65507 MYD65507 MOH65507 MEL65507 LUP65507 LKT65507 LAX65507 KRB65507 KHF65507 JXJ65507 JNN65507 JDR65507 ITV65507 IJZ65507 IAD65507 HQH65507 HGL65507 GWP65507 GMT65507 GCX65507 FTB65507 FJF65507 EZJ65507 EPN65507 EFR65507 DVV65507 DLZ65507 DCD65507 CSH65507 CIL65507 BYP65507 BOT65507 BEX65507 AVB65507 ALF65507 ABJ65507 RN65507 HR65507 WUD983193 WKH983193 WAL983193 VQP983193 VGT983193 UWX983193 UNB983193 UDF983193 TTJ983193 TJN983193 SZR983193 SPV983193 SFZ983193 RWD983193 RMH983193 RCL983193 QSP983193 QIT983193 PYX983193 PPB983193 PFF983193 OVJ983193 OLN983193 OBR983193 NRV983193 NHZ983193 MYD983193 MOH983193 MEL983193 LUP983193 LKT983193 LAX983193 KRB983193 KHF983193 JXJ983193 JNN983193 JDR983193 ITV983193 IJZ983193 IAD983193 HQH983193 HGL983193 GWP983193 GMT983193 GCX983193 FTB983193 FJF983193 EZJ983193 EPN983193 EFR983193 DVV983193 DLZ983193 DCD983193 CSH983193 CIL983193 BYP983193 BOT983193 BEX983193 AVB983193 ALF983193 ABJ983193 RN983193 HR983193 WUD917657 WKH917657 WAL917657 VQP917657 VGT917657 UWX917657 UNB917657 UDF917657 TTJ917657 TJN917657 SZR917657 SPV917657 SFZ917657 RWD917657 RMH917657 RCL917657 QSP917657 QIT917657 PYX917657 PPB917657 PFF917657 OVJ917657 OLN917657 OBR917657 NRV917657 NHZ917657 MYD917657 MOH917657 MEL917657 LUP917657 LKT917657 LAX917657 KRB917657 KHF917657 JXJ917657 JNN917657 JDR917657 ITV917657 IJZ917657 IAD917657 HQH917657 HGL917657 GWP917657 GMT917657 GCX917657 FTB917657 FJF917657 EZJ917657 EPN917657 EFR917657 DVV917657 DLZ917657 DCD917657 CSH917657 CIL917657 BYP917657 BOT917657 BEX917657 AVB917657 ALF917657 ABJ917657 RN917657 HR917657 WUD852121 WKH852121 WAL852121 VQP852121 VGT852121 UWX852121 UNB852121 UDF852121 TTJ852121 TJN852121 SZR852121 SPV852121 SFZ852121 RWD852121 RMH852121 RCL852121 QSP852121 QIT852121 PYX852121 PPB852121 PFF852121 OVJ852121 OLN852121 OBR852121 NRV852121 NHZ852121 MYD852121 MOH852121 MEL852121 LUP852121 LKT852121 LAX852121 KRB852121 KHF852121 JXJ852121 JNN852121 JDR852121 ITV852121 IJZ852121 IAD852121 HQH852121 HGL852121 GWP852121 GMT852121 GCX852121 FTB852121 FJF852121 EZJ852121 EPN852121 EFR852121 DVV852121 DLZ852121 DCD852121 CSH852121 CIL852121 BYP852121 BOT852121 BEX852121 AVB852121 ALF852121 ABJ852121 RN852121 HR852121 WUD786585 WKH786585 WAL786585 VQP786585 VGT786585 UWX786585 UNB786585 UDF786585 TTJ786585 TJN786585 SZR786585 SPV786585 SFZ786585 RWD786585 RMH786585 RCL786585 QSP786585 QIT786585 PYX786585 PPB786585 PFF786585 OVJ786585 OLN786585 OBR786585 NRV786585 NHZ786585 MYD786585 MOH786585 MEL786585 LUP786585 LKT786585 LAX786585 KRB786585 KHF786585 JXJ786585 JNN786585 JDR786585 ITV786585 IJZ786585 IAD786585 HQH786585 HGL786585 GWP786585 GMT786585 GCX786585 FTB786585 FJF786585 EZJ786585 EPN786585 EFR786585 DVV786585 DLZ786585 DCD786585 CSH786585 CIL786585 BYP786585 BOT786585 BEX786585 AVB786585 ALF786585 ABJ786585 RN786585 HR786585 WUD721049 WKH721049 WAL721049 VQP721049 VGT721049 UWX721049 UNB721049 UDF721049 TTJ721049 TJN721049 SZR721049 SPV721049 SFZ721049 RWD721049 RMH721049 RCL721049 QSP721049 QIT721049 PYX721049 PPB721049 PFF721049 OVJ721049 OLN721049 OBR721049 NRV721049 NHZ721049 MYD721049 MOH721049 MEL721049 LUP721049 LKT721049 LAX721049 KRB721049 KHF721049 JXJ721049 JNN721049 JDR721049 ITV721049 IJZ721049 IAD721049 HQH721049 HGL721049 GWP721049 GMT721049 GCX721049 FTB721049 FJF721049 EZJ721049 EPN721049 EFR721049 DVV721049 DLZ721049 DCD721049 CSH721049 CIL721049 BYP721049 BOT721049 BEX721049 AVB721049 ALF721049 ABJ721049 RN721049 HR721049 WUD655513 WKH655513 WAL655513 VQP655513 VGT655513 UWX655513 UNB655513 UDF655513 TTJ655513 TJN655513 SZR655513 SPV655513 SFZ655513 RWD655513 RMH655513 RCL655513 QSP655513 QIT655513 PYX655513 PPB655513 PFF655513 OVJ655513 OLN655513 OBR655513 NRV655513 NHZ655513 MYD655513 MOH655513 MEL655513 LUP655513 LKT655513 LAX655513 KRB655513 KHF655513 JXJ655513 JNN655513 JDR655513 ITV655513 IJZ655513 IAD655513 HQH655513 HGL655513 GWP655513 GMT655513 GCX655513 FTB655513 FJF655513 EZJ655513 EPN655513 EFR655513 DVV655513 DLZ655513 DCD655513 CSH655513 CIL655513 BYP655513 BOT655513 BEX655513 AVB655513 ALF655513 ABJ655513 RN655513 HR655513 WUD589977 WKH589977 WAL589977 VQP589977 VGT589977 UWX589977 UNB589977 UDF589977 TTJ589977 TJN589977 SZR589977 SPV589977 SFZ589977 RWD589977 RMH589977 RCL589977 QSP589977 QIT589977 PYX589977 PPB589977 PFF589977 OVJ589977 OLN589977 OBR589977 NRV589977 NHZ589977 MYD589977 MOH589977 MEL589977 LUP589977 LKT589977 LAX589977 KRB589977 KHF589977 JXJ589977 JNN589977 JDR589977 ITV589977 IJZ589977 IAD589977 HQH589977 HGL589977 GWP589977 GMT589977 GCX589977 FTB589977 FJF589977 EZJ589977 EPN589977 EFR589977 DVV589977 DLZ589977 DCD589977 CSH589977 CIL589977 BYP589977 BOT589977 BEX589977 AVB589977 ALF589977 ABJ589977 RN589977 HR589977 WUD524441 WKH524441 WAL524441 VQP524441 VGT524441 UWX524441 UNB524441 UDF524441 TTJ524441 TJN524441 SZR524441 SPV524441 SFZ524441 RWD524441 RMH524441 RCL524441 QSP524441 QIT524441 PYX524441 PPB524441 PFF524441 OVJ524441 OLN524441 OBR524441 NRV524441 NHZ524441 MYD524441 MOH524441 MEL524441 LUP524441 LKT524441 LAX524441 KRB524441 KHF524441 JXJ524441 JNN524441 JDR524441 ITV524441 IJZ524441 IAD524441 HQH524441 HGL524441 GWP524441 GMT524441 GCX524441 FTB524441 FJF524441 EZJ524441 EPN524441 EFR524441 DVV524441 DLZ524441 DCD524441 CSH524441 CIL524441 BYP524441 BOT524441 BEX524441 AVB524441 ALF524441 ABJ524441 RN524441 HR524441 WUD458905 WKH458905 WAL458905 VQP458905 VGT458905 UWX458905 UNB458905 UDF458905 TTJ458905 TJN458905 SZR458905 SPV458905 SFZ458905 RWD458905 RMH458905 RCL458905 QSP458905 QIT458905 PYX458905 PPB458905 PFF458905 OVJ458905 OLN458905 OBR458905 NRV458905 NHZ458905 MYD458905 MOH458905 MEL458905 LUP458905 LKT458905 LAX458905 KRB458905 KHF458905 JXJ458905 JNN458905 JDR458905 ITV458905 IJZ458905 IAD458905 HQH458905 HGL458905 GWP458905 GMT458905 GCX458905 FTB458905 FJF458905 EZJ458905 EPN458905 EFR458905 DVV458905 DLZ458905 DCD458905 CSH458905 CIL458905 BYP458905 BOT458905 BEX458905 AVB458905 ALF458905 ABJ458905 RN458905 HR458905 WUD393369 WKH393369 WAL393369 VQP393369 VGT393369 UWX393369 UNB393369 UDF393369 TTJ393369 TJN393369 SZR393369 SPV393369 SFZ393369 RWD393369 RMH393369 RCL393369 QSP393369 QIT393369 PYX393369 PPB393369 PFF393369 OVJ393369 OLN393369 OBR393369 NRV393369 NHZ393369 MYD393369 MOH393369 MEL393369 LUP393369 LKT393369 LAX393369 KRB393369 KHF393369 JXJ393369 JNN393369 JDR393369 ITV393369 IJZ393369 IAD393369 HQH393369 HGL393369 GWP393369 GMT393369 GCX393369 FTB393369 FJF393369 EZJ393369 EPN393369 EFR393369 DVV393369 DLZ393369 DCD393369 CSH393369 CIL393369 BYP393369 BOT393369 BEX393369 AVB393369 ALF393369 ABJ393369 RN393369 HR393369 WUD327833 WKH327833 WAL327833 VQP327833 VGT327833 UWX327833 UNB327833 UDF327833 TTJ327833 TJN327833 SZR327833 SPV327833 SFZ327833 RWD327833 RMH327833 RCL327833 QSP327833 QIT327833 PYX327833 PPB327833 PFF327833 OVJ327833 OLN327833 OBR327833 NRV327833 NHZ327833 MYD327833 MOH327833 MEL327833 LUP327833 LKT327833 LAX327833 KRB327833 KHF327833 JXJ327833 JNN327833 JDR327833 ITV327833 IJZ327833 IAD327833 HQH327833 HGL327833 GWP327833 GMT327833 GCX327833 FTB327833 FJF327833 EZJ327833 EPN327833 EFR327833 DVV327833 DLZ327833 DCD327833 CSH327833 CIL327833 BYP327833 BOT327833 BEX327833 AVB327833 ALF327833 ABJ327833 RN327833 HR327833 WUD262297 WKH262297 WAL262297 VQP262297 VGT262297 UWX262297 UNB262297 UDF262297 TTJ262297 TJN262297 SZR262297 SPV262297 SFZ262297 RWD262297 RMH262297 RCL262297 QSP262297 QIT262297 PYX262297 PPB262297 PFF262297 OVJ262297 OLN262297 OBR262297 NRV262297 NHZ262297 MYD262297 MOH262297 MEL262297 LUP262297 LKT262297 LAX262297 KRB262297 KHF262297 JXJ262297 JNN262297 JDR262297 ITV262297 IJZ262297 IAD262297 HQH262297 HGL262297 GWP262297 GMT262297 GCX262297 FTB262297 FJF262297 EZJ262297 EPN262297 EFR262297 DVV262297 DLZ262297 DCD262297 CSH262297 CIL262297 BYP262297 BOT262297 BEX262297 AVB262297 ALF262297 ABJ262297 RN262297 HR262297 WUD196761 WKH196761 WAL196761 VQP196761 VGT196761 UWX196761 UNB196761 UDF196761 TTJ196761 TJN196761 SZR196761 SPV196761 SFZ196761 RWD196761 RMH196761 RCL196761 QSP196761 QIT196761 PYX196761 PPB196761 PFF196761 OVJ196761 OLN196761 OBR196761 NRV196761 NHZ196761 MYD196761 MOH196761 MEL196761 LUP196761 LKT196761 LAX196761 KRB196761 KHF196761 JXJ196761 JNN196761 JDR196761 ITV196761 IJZ196761 IAD196761 HQH196761 HGL196761 GWP196761 GMT196761 GCX196761 FTB196761 FJF196761 EZJ196761 EPN196761 EFR196761 DVV196761 DLZ196761 DCD196761 CSH196761 CIL196761 BYP196761 BOT196761 BEX196761 AVB196761 ALF196761 ABJ196761 RN196761 HR196761 WUD131225 WKH131225 WAL131225 VQP131225 VGT131225 UWX131225 UNB131225 UDF131225 TTJ131225 TJN131225 SZR131225 SPV131225 SFZ131225 RWD131225 RMH131225 RCL131225 QSP131225 QIT131225 PYX131225 PPB131225 PFF131225 OVJ131225 OLN131225 OBR131225 NRV131225 NHZ131225 MYD131225 MOH131225 MEL131225 LUP131225 LKT131225 LAX131225 KRB131225 KHF131225 JXJ131225 JNN131225 JDR131225 ITV131225 IJZ131225 IAD131225 HQH131225 HGL131225 GWP131225 GMT131225 GCX131225 FTB131225 FJF131225 EZJ131225 EPN131225 EFR131225 DVV131225 DLZ131225 DCD131225 CSH131225 CIL131225 BYP131225 BOT131225 BEX131225 AVB131225 ALF131225 ABJ131225 RN131225 HR131225 WUD65689 WKH65689 WAL65689 VQP65689 VGT65689 UWX65689 UNB65689 UDF65689 TTJ65689 TJN65689 SZR65689 SPV65689 SFZ65689 RWD65689 RMH65689 RCL65689 QSP65689 QIT65689 PYX65689 PPB65689 PFF65689 OVJ65689 OLN65689 OBR65689 NRV65689 NHZ65689 MYD65689 MOH65689 MEL65689 LUP65689 LKT65689 LAX65689 KRB65689 KHF65689 JXJ65689 JNN65689 JDR65689 ITV65689 IJZ65689 IAD65689 HQH65689 HGL65689 GWP65689 GMT65689 GCX65689 FTB65689 FJF65689 EZJ65689 EPN65689 EFR65689 DVV65689 DLZ65689 DCD65689 CSH65689 CIL65689 BYP65689 BOT65689 BEX65689 AVB65689 ALF65689 ABJ65689 RN65689 HR65689 WUD983304 WKH983304 WAL983304 VQP983304 VGT983304 UWX983304 UNB983304 UDF983304 TTJ983304 TJN983304 SZR983304 SPV983304 SFZ983304 RWD983304 RMH983304 RCL983304 QSP983304 QIT983304 PYX983304 PPB983304 PFF983304 OVJ983304 OLN983304 OBR983304 NRV983304 NHZ983304 MYD983304 MOH983304 MEL983304 LUP983304 LKT983304 LAX983304 KRB983304 KHF983304 JXJ983304 JNN983304 JDR983304 ITV983304 IJZ983304 IAD983304 HQH983304 HGL983304 GWP983304 GMT983304 GCX983304 FTB983304 FJF983304 EZJ983304 EPN983304 EFR983304 DVV983304 DLZ983304 DCD983304 CSH983304 CIL983304 BYP983304 BOT983304 BEX983304 AVB983304 ALF983304 ABJ983304 RN983304 HR983304 WUD917768 WKH917768 WAL917768 VQP917768 VGT917768 UWX917768 UNB917768 UDF917768 TTJ917768 TJN917768 SZR917768 SPV917768 SFZ917768 RWD917768 RMH917768 RCL917768 QSP917768 QIT917768 PYX917768 PPB917768 PFF917768 OVJ917768 OLN917768 OBR917768 NRV917768 NHZ917768 MYD917768 MOH917768 MEL917768 LUP917768 LKT917768 LAX917768 KRB917768 KHF917768 JXJ917768 JNN917768 JDR917768 ITV917768 IJZ917768 IAD917768 HQH917768 HGL917768 GWP917768 GMT917768 GCX917768 FTB917768 FJF917768 EZJ917768 EPN917768 EFR917768 DVV917768 DLZ917768 DCD917768 CSH917768 CIL917768 BYP917768 BOT917768 BEX917768 AVB917768 ALF917768 ABJ917768 RN917768 HR917768 WUD852232 WKH852232 WAL852232 VQP852232 VGT852232 UWX852232 UNB852232 UDF852232 TTJ852232 TJN852232 SZR852232 SPV852232 SFZ852232 RWD852232 RMH852232 RCL852232 QSP852232 QIT852232 PYX852232 PPB852232 PFF852232 OVJ852232 OLN852232 OBR852232 NRV852232 NHZ852232 MYD852232 MOH852232 MEL852232 LUP852232 LKT852232 LAX852232 KRB852232 KHF852232 JXJ852232 JNN852232 JDR852232 ITV852232 IJZ852232 IAD852232 HQH852232 HGL852232 GWP852232 GMT852232 GCX852232 FTB852232 FJF852232 EZJ852232 EPN852232 EFR852232 DVV852232 DLZ852232 DCD852232 CSH852232 CIL852232 BYP852232 BOT852232 BEX852232 AVB852232 ALF852232 ABJ852232 RN852232 HR852232 WUD786696 WKH786696 WAL786696 VQP786696 VGT786696 UWX786696 UNB786696 UDF786696 TTJ786696 TJN786696 SZR786696 SPV786696 SFZ786696 RWD786696 RMH786696 RCL786696 QSP786696 QIT786696 PYX786696 PPB786696 PFF786696 OVJ786696 OLN786696 OBR786696 NRV786696 NHZ786696 MYD786696 MOH786696 MEL786696 LUP786696 LKT786696 LAX786696 KRB786696 KHF786696 JXJ786696 JNN786696 JDR786696 ITV786696 IJZ786696 IAD786696 HQH786696 HGL786696 GWP786696 GMT786696 GCX786696 FTB786696 FJF786696 EZJ786696 EPN786696 EFR786696 DVV786696 DLZ786696 DCD786696 CSH786696 CIL786696 BYP786696 BOT786696 BEX786696 AVB786696 ALF786696 ABJ786696 RN786696 HR786696 WUD721160 WKH721160 WAL721160 VQP721160 VGT721160 UWX721160 UNB721160 UDF721160 TTJ721160 TJN721160 SZR721160 SPV721160 SFZ721160 RWD721160 RMH721160 RCL721160 QSP721160 QIT721160 PYX721160 PPB721160 PFF721160 OVJ721160 OLN721160 OBR721160 NRV721160 NHZ721160 MYD721160 MOH721160 MEL721160 LUP721160 LKT721160 LAX721160 KRB721160 KHF721160 JXJ721160 JNN721160 JDR721160 ITV721160 IJZ721160 IAD721160 HQH721160 HGL721160 GWP721160 GMT721160 GCX721160 FTB721160 FJF721160 EZJ721160 EPN721160 EFR721160 DVV721160 DLZ721160 DCD721160 CSH721160 CIL721160 BYP721160 BOT721160 BEX721160 AVB721160 ALF721160 ABJ721160 RN721160 HR721160 WUD655624 WKH655624 WAL655624 VQP655624 VGT655624 UWX655624 UNB655624 UDF655624 TTJ655624 TJN655624 SZR655624 SPV655624 SFZ655624 RWD655624 RMH655624 RCL655624 QSP655624 QIT655624 PYX655624 PPB655624 PFF655624 OVJ655624 OLN655624 OBR655624 NRV655624 NHZ655624 MYD655624 MOH655624 MEL655624 LUP655624 LKT655624 LAX655624 KRB655624 KHF655624 JXJ655624 JNN655624 JDR655624 ITV655624 IJZ655624 IAD655624 HQH655624 HGL655624 GWP655624 GMT655624 GCX655624 FTB655624 FJF655624 EZJ655624 EPN655624 EFR655624 DVV655624 DLZ655624 DCD655624 CSH655624 CIL655624 BYP655624 BOT655624 BEX655624 AVB655624 ALF655624 ABJ655624 RN655624 HR655624 WUD590088 WKH590088 WAL590088 VQP590088 VGT590088 UWX590088 UNB590088 UDF590088 TTJ590088 TJN590088 SZR590088 SPV590088 SFZ590088 RWD590088 RMH590088 RCL590088 QSP590088 QIT590088 PYX590088 PPB590088 PFF590088 OVJ590088 OLN590088 OBR590088 NRV590088 NHZ590088 MYD590088 MOH590088 MEL590088 LUP590088 LKT590088 LAX590088 KRB590088 KHF590088 JXJ590088 JNN590088 JDR590088 ITV590088 IJZ590088 IAD590088 HQH590088 HGL590088 GWP590088 GMT590088 GCX590088 FTB590088 FJF590088 EZJ590088 EPN590088 EFR590088 DVV590088 DLZ590088 DCD590088 CSH590088 CIL590088 BYP590088 BOT590088 BEX590088 AVB590088 ALF590088 ABJ590088 RN590088 HR590088 WUD524552 WKH524552 WAL524552 VQP524552 VGT524552 UWX524552 UNB524552 UDF524552 TTJ524552 TJN524552 SZR524552 SPV524552 SFZ524552 RWD524552 RMH524552 RCL524552 QSP524552 QIT524552 PYX524552 PPB524552 PFF524552 OVJ524552 OLN524552 OBR524552 NRV524552 NHZ524552 MYD524552 MOH524552 MEL524552 LUP524552 LKT524552 LAX524552 KRB524552 KHF524552 JXJ524552 JNN524552 JDR524552 ITV524552 IJZ524552 IAD524552 HQH524552 HGL524552 GWP524552 GMT524552 GCX524552 FTB524552 FJF524552 EZJ524552 EPN524552 EFR524552 DVV524552 DLZ524552 DCD524552 CSH524552 CIL524552 BYP524552 BOT524552 BEX524552 AVB524552 ALF524552 ABJ524552 RN524552 HR524552 WUD459016 WKH459016 WAL459016 VQP459016 VGT459016 UWX459016 UNB459016 UDF459016 TTJ459016 TJN459016 SZR459016 SPV459016 SFZ459016 RWD459016 RMH459016 RCL459016 QSP459016 QIT459016 PYX459016 PPB459016 PFF459016 OVJ459016 OLN459016 OBR459016 NRV459016 NHZ459016 MYD459016 MOH459016 MEL459016 LUP459016 LKT459016 LAX459016 KRB459016 KHF459016 JXJ459016 JNN459016 JDR459016 ITV459016 IJZ459016 IAD459016 HQH459016 HGL459016 GWP459016 GMT459016 GCX459016 FTB459016 FJF459016 EZJ459016 EPN459016 EFR459016 DVV459016 DLZ459016 DCD459016 CSH459016 CIL459016 BYP459016 BOT459016 BEX459016 AVB459016 ALF459016 ABJ459016 RN459016 HR459016 WUD393480 WKH393480 WAL393480 VQP393480 VGT393480 UWX393480 UNB393480 UDF393480 TTJ393480 TJN393480 SZR393480 SPV393480 SFZ393480 RWD393480 RMH393480 RCL393480 QSP393480 QIT393480 PYX393480 PPB393480 PFF393480 OVJ393480 OLN393480 OBR393480 NRV393480 NHZ393480 MYD393480 MOH393480 MEL393480 LUP393480 LKT393480 LAX393480 KRB393480 KHF393480 JXJ393480 JNN393480 JDR393480 ITV393480 IJZ393480 IAD393480 HQH393480 HGL393480 GWP393480 GMT393480 GCX393480 FTB393480 FJF393480 EZJ393480 EPN393480 EFR393480 DVV393480 DLZ393480 DCD393480 CSH393480 CIL393480 BYP393480 BOT393480 BEX393480 AVB393480 ALF393480 ABJ393480 RN393480 HR393480 WUD327944 WKH327944 WAL327944 VQP327944 VGT327944 UWX327944 UNB327944 UDF327944 TTJ327944 TJN327944 SZR327944 SPV327944 SFZ327944 RWD327944 RMH327944 RCL327944 QSP327944 QIT327944 PYX327944 PPB327944 PFF327944 OVJ327944 OLN327944 OBR327944 NRV327944 NHZ327944 MYD327944 MOH327944 MEL327944 LUP327944 LKT327944 LAX327944 KRB327944 KHF327944 JXJ327944 JNN327944 JDR327944 ITV327944 IJZ327944 IAD327944 HQH327944 HGL327944 GWP327944 GMT327944 GCX327944 FTB327944 FJF327944 EZJ327944 EPN327944 EFR327944 DVV327944 DLZ327944 DCD327944 CSH327944 CIL327944 BYP327944 BOT327944 BEX327944 AVB327944 ALF327944 ABJ327944 RN327944 HR327944 WUD262408 WKH262408 WAL262408 VQP262408 VGT262408 UWX262408 UNB262408 UDF262408 TTJ262408 TJN262408 SZR262408 SPV262408 SFZ262408 RWD262408 RMH262408 RCL262408 QSP262408 QIT262408 PYX262408 PPB262408 PFF262408 OVJ262408 OLN262408 OBR262408 NRV262408 NHZ262408 MYD262408 MOH262408 MEL262408 LUP262408 LKT262408 LAX262408 KRB262408 KHF262408 JXJ262408 JNN262408 JDR262408 ITV262408 IJZ262408 IAD262408 HQH262408 HGL262408 GWP262408 GMT262408 GCX262408 FTB262408 FJF262408 EZJ262408 EPN262408 EFR262408 DVV262408 DLZ262408 DCD262408 CSH262408 CIL262408 BYP262408 BOT262408 BEX262408 AVB262408 ALF262408 ABJ262408 RN262408 HR262408 WUD196872 WKH196872 WAL196872 VQP196872 VGT196872 UWX196872 UNB196872 UDF196872 TTJ196872 TJN196872 SZR196872 SPV196872 SFZ196872 RWD196872 RMH196872 RCL196872 QSP196872 QIT196872 PYX196872 PPB196872 PFF196872 OVJ196872 OLN196872 OBR196872 NRV196872 NHZ196872 MYD196872 MOH196872 MEL196872 LUP196872 LKT196872 LAX196872 KRB196872 KHF196872 JXJ196872 JNN196872 JDR196872 ITV196872 IJZ196872 IAD196872 HQH196872 HGL196872 GWP196872 GMT196872 GCX196872 FTB196872 FJF196872 EZJ196872 EPN196872 EFR196872 DVV196872 DLZ196872 DCD196872 CSH196872 CIL196872 BYP196872 BOT196872 BEX196872 AVB196872 ALF196872 ABJ196872 RN196872 HR196872 WUD131336 WKH131336 WAL131336 VQP131336 VGT131336 UWX131336 UNB131336 UDF131336 TTJ131336 TJN131336 SZR131336 SPV131336 SFZ131336 RWD131336 RMH131336 RCL131336 QSP131336 QIT131336 PYX131336 PPB131336 PFF131336 OVJ131336 OLN131336 OBR131336 NRV131336 NHZ131336 MYD131336 MOH131336 MEL131336 LUP131336 LKT131336 LAX131336 KRB131336 KHF131336 JXJ131336 JNN131336 JDR131336 ITV131336 IJZ131336 IAD131336 HQH131336 HGL131336 GWP131336 GMT131336 GCX131336 FTB131336 FJF131336 EZJ131336 EPN131336 EFR131336 DVV131336 DLZ131336 DCD131336 CSH131336 CIL131336 BYP131336 BOT131336 BEX131336 AVB131336 ALF131336 ABJ131336 RN131336 HR131336 WUD65800 WKH65800 WAL65800 VQP65800 VGT65800 UWX65800 UNB65800 UDF65800 TTJ65800 TJN65800 SZR65800 SPV65800 SFZ65800 RWD65800 RMH65800 RCL65800 QSP65800 QIT65800 PYX65800 PPB65800 PFF65800 OVJ65800 OLN65800 OBR65800 NRV65800 NHZ65800 MYD65800 MOH65800 MEL65800 LUP65800 LKT65800 LAX65800 KRB65800 KHF65800 JXJ65800 JNN65800 JDR65800 ITV65800 IJZ65800 IAD65800 HQH65800 HGL65800 GWP65800 GMT65800 GCX65800 FTB65800 FJF65800 EZJ65800 EPN65800 EFR65800 DVV65800 DLZ65800 DCD65800 CSH65800 CIL65800 BYP65800 BOT65800 BEX65800 AVB65800 ALF65800 ABJ65800 RN65800 HR65800 WUD983763 WKH983763 WAL983763 VQP983763 VGT983763 UWX983763 UNB983763 UDF983763 TTJ983763 TJN983763 SZR983763 SPV983763 SFZ983763 RWD983763 RMH983763 RCL983763 QSP983763 QIT983763 PYX983763 PPB983763 PFF983763 OVJ983763 OLN983763 OBR983763 NRV983763 NHZ983763 MYD983763 MOH983763 MEL983763 LUP983763 LKT983763 LAX983763 KRB983763 KHF983763 JXJ983763 JNN983763 JDR983763 ITV983763 IJZ983763 IAD983763 HQH983763 HGL983763 GWP983763 GMT983763 GCX983763 FTB983763 FJF983763 EZJ983763 EPN983763 EFR983763 DVV983763 DLZ983763 DCD983763 CSH983763 CIL983763 BYP983763 BOT983763 BEX983763 AVB983763 ALF983763 ABJ983763 RN983763 HR983763 WUD918227 WKH918227 WAL918227 VQP918227 VGT918227 UWX918227 UNB918227 UDF918227 TTJ918227 TJN918227 SZR918227 SPV918227 SFZ918227 RWD918227 RMH918227 RCL918227 QSP918227 QIT918227 PYX918227 PPB918227 PFF918227 OVJ918227 OLN918227 OBR918227 NRV918227 NHZ918227 MYD918227 MOH918227 MEL918227 LUP918227 LKT918227 LAX918227 KRB918227 KHF918227 JXJ918227 JNN918227 JDR918227 ITV918227 IJZ918227 IAD918227 HQH918227 HGL918227 GWP918227 GMT918227 GCX918227 FTB918227 FJF918227 EZJ918227 EPN918227 EFR918227 DVV918227 DLZ918227 DCD918227 CSH918227 CIL918227 BYP918227 BOT918227 BEX918227 AVB918227 ALF918227 ABJ918227 RN918227 HR918227 WUD852691 WKH852691 WAL852691 VQP852691 VGT852691 UWX852691 UNB852691 UDF852691 TTJ852691 TJN852691 SZR852691 SPV852691 SFZ852691 RWD852691 RMH852691 RCL852691 QSP852691 QIT852691 PYX852691 PPB852691 PFF852691 OVJ852691 OLN852691 OBR852691 NRV852691 NHZ852691 MYD852691 MOH852691 MEL852691 LUP852691 LKT852691 LAX852691 KRB852691 KHF852691 JXJ852691 JNN852691 JDR852691 ITV852691 IJZ852691 IAD852691 HQH852691 HGL852691 GWP852691 GMT852691 GCX852691 FTB852691 FJF852691 EZJ852691 EPN852691 EFR852691 DVV852691 DLZ852691 DCD852691 CSH852691 CIL852691 BYP852691 BOT852691 BEX852691 AVB852691 ALF852691 ABJ852691 RN852691 HR852691 WUD787155 WKH787155 WAL787155 VQP787155 VGT787155 UWX787155 UNB787155 UDF787155 TTJ787155 TJN787155 SZR787155 SPV787155 SFZ787155 RWD787155 RMH787155 RCL787155 QSP787155 QIT787155 PYX787155 PPB787155 PFF787155 OVJ787155 OLN787155 OBR787155 NRV787155 NHZ787155 MYD787155 MOH787155 MEL787155 LUP787155 LKT787155 LAX787155 KRB787155 KHF787155 JXJ787155 JNN787155 JDR787155 ITV787155 IJZ787155 IAD787155 HQH787155 HGL787155 GWP787155 GMT787155 GCX787155 FTB787155 FJF787155 EZJ787155 EPN787155 EFR787155 DVV787155 DLZ787155 DCD787155 CSH787155 CIL787155 BYP787155 BOT787155 BEX787155 AVB787155 ALF787155 ABJ787155 RN787155 HR787155 WUD721619 WKH721619 WAL721619 VQP721619 VGT721619 UWX721619 UNB721619 UDF721619 TTJ721619 TJN721619 SZR721619 SPV721619 SFZ721619 RWD721619 RMH721619 RCL721619 QSP721619 QIT721619 PYX721619 PPB721619 PFF721619 OVJ721619 OLN721619 OBR721619 NRV721619 NHZ721619 MYD721619 MOH721619 MEL721619 LUP721619 LKT721619 LAX721619 KRB721619 KHF721619 JXJ721619 JNN721619 JDR721619 ITV721619 IJZ721619 IAD721619 HQH721619 HGL721619 GWP721619 GMT721619 GCX721619 FTB721619 FJF721619 EZJ721619 EPN721619 EFR721619 DVV721619 DLZ721619 DCD721619 CSH721619 CIL721619 BYP721619 BOT721619 BEX721619 AVB721619 ALF721619 ABJ721619 RN721619 HR721619 WUD656083 WKH656083 WAL656083 VQP656083 VGT656083 UWX656083 UNB656083 UDF656083 TTJ656083 TJN656083 SZR656083 SPV656083 SFZ656083 RWD656083 RMH656083 RCL656083 QSP656083 QIT656083 PYX656083 PPB656083 PFF656083 OVJ656083 OLN656083 OBR656083 NRV656083 NHZ656083 MYD656083 MOH656083 MEL656083 LUP656083 LKT656083 LAX656083 KRB656083 KHF656083 JXJ656083 JNN656083 JDR656083 ITV656083 IJZ656083 IAD656083 HQH656083 HGL656083 GWP656083 GMT656083 GCX656083 FTB656083 FJF656083 EZJ656083 EPN656083 EFR656083 DVV656083 DLZ656083 DCD656083 CSH656083 CIL656083 BYP656083 BOT656083 BEX656083 AVB656083 ALF656083 ABJ656083 RN656083 HR656083 WUD590547 WKH590547 WAL590547 VQP590547 VGT590547 UWX590547 UNB590547 UDF590547 TTJ590547 TJN590547 SZR590547 SPV590547 SFZ590547 RWD590547 RMH590547 RCL590547 QSP590547 QIT590547 PYX590547 PPB590547 PFF590547 OVJ590547 OLN590547 OBR590547 NRV590547 NHZ590547 MYD590547 MOH590547 MEL590547 LUP590547 LKT590547 LAX590547 KRB590547 KHF590547 JXJ590547 JNN590547 JDR590547 ITV590547 IJZ590547 IAD590547 HQH590547 HGL590547 GWP590547 GMT590547 GCX590547 FTB590547 FJF590547 EZJ590547 EPN590547 EFR590547 DVV590547 DLZ590547 DCD590547 CSH590547 CIL590547 BYP590547 BOT590547 BEX590547 AVB590547 ALF590547 ABJ590547 RN590547 HR590547 WUD525011 WKH525011 WAL525011 VQP525011 VGT525011 UWX525011 UNB525011 UDF525011 TTJ525011 TJN525011 SZR525011 SPV525011 SFZ525011 RWD525011 RMH525011 RCL525011 QSP525011 QIT525011 PYX525011 PPB525011 PFF525011 OVJ525011 OLN525011 OBR525011 NRV525011 NHZ525011 MYD525011 MOH525011 MEL525011 LUP525011 LKT525011 LAX525011 KRB525011 KHF525011 JXJ525011 JNN525011 JDR525011 ITV525011 IJZ525011 IAD525011 HQH525011 HGL525011 GWP525011 GMT525011 GCX525011 FTB525011 FJF525011 EZJ525011 EPN525011 EFR525011 DVV525011 DLZ525011 DCD525011 CSH525011 CIL525011 BYP525011 BOT525011 BEX525011 AVB525011 ALF525011 ABJ525011 RN525011 HR525011 WUD459475 WKH459475 WAL459475 VQP459475 VGT459475 UWX459475 UNB459475 UDF459475 TTJ459475 TJN459475 SZR459475 SPV459475 SFZ459475 RWD459475 RMH459475 RCL459475 QSP459475 QIT459475 PYX459475 PPB459475 PFF459475 OVJ459475 OLN459475 OBR459475 NRV459475 NHZ459475 MYD459475 MOH459475 MEL459475 LUP459475 LKT459475 LAX459475 KRB459475 KHF459475 JXJ459475 JNN459475 JDR459475 ITV459475 IJZ459475 IAD459475 HQH459475 HGL459475 GWP459475 GMT459475 GCX459475 FTB459475 FJF459475 EZJ459475 EPN459475 EFR459475 DVV459475 DLZ459475 DCD459475 CSH459475 CIL459475 BYP459475 BOT459475 BEX459475 AVB459475 ALF459475 ABJ459475 RN459475 HR459475 WUD393939 WKH393939 WAL393939 VQP393939 VGT393939 UWX393939 UNB393939 UDF393939 TTJ393939 TJN393939 SZR393939 SPV393939 SFZ393939 RWD393939 RMH393939 RCL393939 QSP393939 QIT393939 PYX393939 PPB393939 PFF393939 OVJ393939 OLN393939 OBR393939 NRV393939 NHZ393939 MYD393939 MOH393939 MEL393939 LUP393939 LKT393939 LAX393939 KRB393939 KHF393939 JXJ393939 JNN393939 JDR393939 ITV393939 IJZ393939 IAD393939 HQH393939 HGL393939 GWP393939 GMT393939 GCX393939 FTB393939 FJF393939 EZJ393939 EPN393939 EFR393939 DVV393939 DLZ393939 DCD393939 CSH393939 CIL393939 BYP393939 BOT393939 BEX393939 AVB393939 ALF393939 ABJ393939 RN393939 HR393939 WUD328403 WKH328403 WAL328403 VQP328403 VGT328403 UWX328403 UNB328403 UDF328403 TTJ328403 TJN328403 SZR328403 SPV328403 SFZ328403 RWD328403 RMH328403 RCL328403 QSP328403 QIT328403 PYX328403 PPB328403 PFF328403 OVJ328403 OLN328403 OBR328403 NRV328403 NHZ328403 MYD328403 MOH328403 MEL328403 LUP328403 LKT328403 LAX328403 KRB328403 KHF328403 JXJ328403 JNN328403 JDR328403 ITV328403 IJZ328403 IAD328403 HQH328403 HGL328403 GWP328403 GMT328403 GCX328403 FTB328403 FJF328403 EZJ328403 EPN328403 EFR328403 DVV328403 DLZ328403 DCD328403 CSH328403 CIL328403 BYP328403 BOT328403 BEX328403 AVB328403 ALF328403 ABJ328403 RN328403 HR328403 WUD262867 WKH262867 WAL262867 VQP262867 VGT262867 UWX262867 UNB262867 UDF262867 TTJ262867 TJN262867 SZR262867 SPV262867 SFZ262867 RWD262867 RMH262867 RCL262867 QSP262867 QIT262867 PYX262867 PPB262867 PFF262867 OVJ262867 OLN262867 OBR262867 NRV262867 NHZ262867 MYD262867 MOH262867 MEL262867 LUP262867 LKT262867 LAX262867 KRB262867 KHF262867 JXJ262867 JNN262867 JDR262867 ITV262867 IJZ262867 IAD262867 HQH262867 HGL262867 GWP262867 GMT262867 GCX262867 FTB262867 FJF262867 EZJ262867 EPN262867 EFR262867 DVV262867 DLZ262867 DCD262867 CSH262867 CIL262867 BYP262867 BOT262867 BEX262867 AVB262867 ALF262867 ABJ262867 RN262867 HR262867 WUD197331 WKH197331 WAL197331 VQP197331 VGT197331 UWX197331 UNB197331 UDF197331 TTJ197331 TJN197331 SZR197331 SPV197331 SFZ197331 RWD197331 RMH197331 RCL197331 QSP197331 QIT197331 PYX197331 PPB197331 PFF197331 OVJ197331 OLN197331 OBR197331 NRV197331 NHZ197331 MYD197331 MOH197331 MEL197331 LUP197331 LKT197331 LAX197331 KRB197331 KHF197331 JXJ197331 JNN197331 JDR197331 ITV197331 IJZ197331 IAD197331 HQH197331 HGL197331 GWP197331 GMT197331 GCX197331 FTB197331 FJF197331 EZJ197331 EPN197331 EFR197331 DVV197331 DLZ197331 DCD197331 CSH197331 CIL197331 BYP197331 BOT197331 BEX197331 AVB197331 ALF197331 ABJ197331 RN197331 HR197331 WUD131795 WKH131795 WAL131795 VQP131795 VGT131795 UWX131795 UNB131795 UDF131795 TTJ131795 TJN131795 SZR131795 SPV131795 SFZ131795 RWD131795 RMH131795 RCL131795 QSP131795 QIT131795 PYX131795 PPB131795 PFF131795 OVJ131795 OLN131795 OBR131795 NRV131795 NHZ131795 MYD131795 MOH131795 MEL131795 LUP131795 LKT131795 LAX131795 KRB131795 KHF131795 JXJ131795 JNN131795 JDR131795 ITV131795 IJZ131795 IAD131795 HQH131795 HGL131795 GWP131795 GMT131795 GCX131795 FTB131795 FJF131795 EZJ131795 EPN131795 EFR131795 DVV131795 DLZ131795 DCD131795 CSH131795 CIL131795 BYP131795 BOT131795 BEX131795 AVB131795 ALF131795 ABJ131795 RN131795 HR131795 WUD66259 WKH66259 WAL66259 VQP66259 VGT66259 UWX66259 UNB66259 UDF66259 TTJ66259 TJN66259 SZR66259 SPV66259 SFZ66259 RWD66259 RMH66259 RCL66259 QSP66259 QIT66259 PYX66259 PPB66259 PFF66259 OVJ66259 OLN66259 OBR66259 NRV66259 NHZ66259 MYD66259 MOH66259 MEL66259 LUP66259 LKT66259 LAX66259 KRB66259 KHF66259 JXJ66259 JNN66259 JDR66259 ITV66259 IJZ66259 IAD66259 HQH66259 HGL66259 GWP66259 GMT66259 GCX66259 FTB66259 FJF66259 EZJ66259 EPN66259 EFR66259 DVV66259 DLZ66259 DCD66259 CSH66259 CIL66259 BYP66259 BOT66259 BEX66259 AVB66259 ALF66259 ABJ66259 RN66259 HR66259 WUD982561:WUD982563 WKH982561:WKH982563 WAL982561:WAL982563 VQP982561:VQP982563 VGT982561:VGT982563 UWX982561:UWX982563 UNB982561:UNB982563 UDF982561:UDF982563 TTJ982561:TTJ982563 TJN982561:TJN982563 SZR982561:SZR982563 SPV982561:SPV982563 SFZ982561:SFZ982563 RWD982561:RWD982563 RMH982561:RMH982563 RCL982561:RCL982563 QSP982561:QSP982563 QIT982561:QIT982563 PYX982561:PYX982563 PPB982561:PPB982563 PFF982561:PFF982563 OVJ982561:OVJ982563 OLN982561:OLN982563 OBR982561:OBR982563 NRV982561:NRV982563 NHZ982561:NHZ982563 MYD982561:MYD982563 MOH982561:MOH982563 MEL982561:MEL982563 LUP982561:LUP982563 LKT982561:LKT982563 LAX982561:LAX982563 KRB982561:KRB982563 KHF982561:KHF982563 JXJ982561:JXJ982563 JNN982561:JNN982563 JDR982561:JDR982563 ITV982561:ITV982563 IJZ982561:IJZ982563 IAD982561:IAD982563 HQH982561:HQH982563 HGL982561:HGL982563 GWP982561:GWP982563 GMT982561:GMT982563 GCX982561:GCX982563 FTB982561:FTB982563 FJF982561:FJF982563 EZJ982561:EZJ982563 EPN982561:EPN982563 EFR982561:EFR982563 DVV982561:DVV982563 DLZ982561:DLZ982563 DCD982561:DCD982563 CSH982561:CSH982563 CIL982561:CIL982563 BYP982561:BYP982563 BOT982561:BOT982563 BEX982561:BEX982563 AVB982561:AVB982563 ALF982561:ALF982563 ABJ982561:ABJ982563 RN982561:RN982563 HR982561:HR982563 WUD917025:WUD917027 WKH917025:WKH917027 WAL917025:WAL917027 VQP917025:VQP917027 VGT917025:VGT917027 UWX917025:UWX917027 UNB917025:UNB917027 UDF917025:UDF917027 TTJ917025:TTJ917027 TJN917025:TJN917027 SZR917025:SZR917027 SPV917025:SPV917027 SFZ917025:SFZ917027 RWD917025:RWD917027 RMH917025:RMH917027 RCL917025:RCL917027 QSP917025:QSP917027 QIT917025:QIT917027 PYX917025:PYX917027 PPB917025:PPB917027 PFF917025:PFF917027 OVJ917025:OVJ917027 OLN917025:OLN917027 OBR917025:OBR917027 NRV917025:NRV917027 NHZ917025:NHZ917027 MYD917025:MYD917027 MOH917025:MOH917027 MEL917025:MEL917027 LUP917025:LUP917027 LKT917025:LKT917027 LAX917025:LAX917027 KRB917025:KRB917027 KHF917025:KHF917027 JXJ917025:JXJ917027 JNN917025:JNN917027 JDR917025:JDR917027 ITV917025:ITV917027 IJZ917025:IJZ917027 IAD917025:IAD917027 HQH917025:HQH917027 HGL917025:HGL917027 GWP917025:GWP917027 GMT917025:GMT917027 GCX917025:GCX917027 FTB917025:FTB917027 FJF917025:FJF917027 EZJ917025:EZJ917027 EPN917025:EPN917027 EFR917025:EFR917027 DVV917025:DVV917027 DLZ917025:DLZ917027 DCD917025:DCD917027 CSH917025:CSH917027 CIL917025:CIL917027 BYP917025:BYP917027 BOT917025:BOT917027 BEX917025:BEX917027 AVB917025:AVB917027 ALF917025:ALF917027 ABJ917025:ABJ917027 RN917025:RN917027 HR917025:HR917027 WUD851489:WUD851491 WKH851489:WKH851491 WAL851489:WAL851491 VQP851489:VQP851491 VGT851489:VGT851491 UWX851489:UWX851491 UNB851489:UNB851491 UDF851489:UDF851491 TTJ851489:TTJ851491 TJN851489:TJN851491 SZR851489:SZR851491 SPV851489:SPV851491 SFZ851489:SFZ851491 RWD851489:RWD851491 RMH851489:RMH851491 RCL851489:RCL851491 QSP851489:QSP851491 QIT851489:QIT851491 PYX851489:PYX851491 PPB851489:PPB851491 PFF851489:PFF851491 OVJ851489:OVJ851491 OLN851489:OLN851491 OBR851489:OBR851491 NRV851489:NRV851491 NHZ851489:NHZ851491 MYD851489:MYD851491 MOH851489:MOH851491 MEL851489:MEL851491 LUP851489:LUP851491 LKT851489:LKT851491 LAX851489:LAX851491 KRB851489:KRB851491 KHF851489:KHF851491 JXJ851489:JXJ851491 JNN851489:JNN851491 JDR851489:JDR851491 ITV851489:ITV851491 IJZ851489:IJZ851491 IAD851489:IAD851491 HQH851489:HQH851491 HGL851489:HGL851491 GWP851489:GWP851491 GMT851489:GMT851491 GCX851489:GCX851491 FTB851489:FTB851491 FJF851489:FJF851491 EZJ851489:EZJ851491 EPN851489:EPN851491 EFR851489:EFR851491 DVV851489:DVV851491 DLZ851489:DLZ851491 DCD851489:DCD851491 CSH851489:CSH851491 CIL851489:CIL851491 BYP851489:BYP851491 BOT851489:BOT851491 BEX851489:BEX851491 AVB851489:AVB851491 ALF851489:ALF851491 ABJ851489:ABJ851491 RN851489:RN851491 HR851489:HR851491 WUD785953:WUD785955 WKH785953:WKH785955 WAL785953:WAL785955 VQP785953:VQP785955 VGT785953:VGT785955 UWX785953:UWX785955 UNB785953:UNB785955 UDF785953:UDF785955 TTJ785953:TTJ785955 TJN785953:TJN785955 SZR785953:SZR785955 SPV785953:SPV785955 SFZ785953:SFZ785955 RWD785953:RWD785955 RMH785953:RMH785955 RCL785953:RCL785955 QSP785953:QSP785955 QIT785953:QIT785955 PYX785953:PYX785955 PPB785953:PPB785955 PFF785953:PFF785955 OVJ785953:OVJ785955 OLN785953:OLN785955 OBR785953:OBR785955 NRV785953:NRV785955 NHZ785953:NHZ785955 MYD785953:MYD785955 MOH785953:MOH785955 MEL785953:MEL785955 LUP785953:LUP785955 LKT785953:LKT785955 LAX785953:LAX785955 KRB785953:KRB785955 KHF785953:KHF785955 JXJ785953:JXJ785955 JNN785953:JNN785955 JDR785953:JDR785955 ITV785953:ITV785955 IJZ785953:IJZ785955 IAD785953:IAD785955 HQH785953:HQH785955 HGL785953:HGL785955 GWP785953:GWP785955 GMT785953:GMT785955 GCX785953:GCX785955 FTB785953:FTB785955 FJF785953:FJF785955 EZJ785953:EZJ785955 EPN785953:EPN785955 EFR785953:EFR785955 DVV785953:DVV785955 DLZ785953:DLZ785955 DCD785953:DCD785955 CSH785953:CSH785955 CIL785953:CIL785955 BYP785953:BYP785955 BOT785953:BOT785955 BEX785953:BEX785955 AVB785953:AVB785955 ALF785953:ALF785955 ABJ785953:ABJ785955 RN785953:RN785955 HR785953:HR785955 WUD720417:WUD720419 WKH720417:WKH720419 WAL720417:WAL720419 VQP720417:VQP720419 VGT720417:VGT720419 UWX720417:UWX720419 UNB720417:UNB720419 UDF720417:UDF720419 TTJ720417:TTJ720419 TJN720417:TJN720419 SZR720417:SZR720419 SPV720417:SPV720419 SFZ720417:SFZ720419 RWD720417:RWD720419 RMH720417:RMH720419 RCL720417:RCL720419 QSP720417:QSP720419 QIT720417:QIT720419 PYX720417:PYX720419 PPB720417:PPB720419 PFF720417:PFF720419 OVJ720417:OVJ720419 OLN720417:OLN720419 OBR720417:OBR720419 NRV720417:NRV720419 NHZ720417:NHZ720419 MYD720417:MYD720419 MOH720417:MOH720419 MEL720417:MEL720419 LUP720417:LUP720419 LKT720417:LKT720419 LAX720417:LAX720419 KRB720417:KRB720419 KHF720417:KHF720419 JXJ720417:JXJ720419 JNN720417:JNN720419 JDR720417:JDR720419 ITV720417:ITV720419 IJZ720417:IJZ720419 IAD720417:IAD720419 HQH720417:HQH720419 HGL720417:HGL720419 GWP720417:GWP720419 GMT720417:GMT720419 GCX720417:GCX720419 FTB720417:FTB720419 FJF720417:FJF720419 EZJ720417:EZJ720419 EPN720417:EPN720419 EFR720417:EFR720419 DVV720417:DVV720419 DLZ720417:DLZ720419 DCD720417:DCD720419 CSH720417:CSH720419 CIL720417:CIL720419 BYP720417:BYP720419 BOT720417:BOT720419 BEX720417:BEX720419 AVB720417:AVB720419 ALF720417:ALF720419 ABJ720417:ABJ720419 RN720417:RN720419 HR720417:HR720419 WUD654881:WUD654883 WKH654881:WKH654883 WAL654881:WAL654883 VQP654881:VQP654883 VGT654881:VGT654883 UWX654881:UWX654883 UNB654881:UNB654883 UDF654881:UDF654883 TTJ654881:TTJ654883 TJN654881:TJN654883 SZR654881:SZR654883 SPV654881:SPV654883 SFZ654881:SFZ654883 RWD654881:RWD654883 RMH654881:RMH654883 RCL654881:RCL654883 QSP654881:QSP654883 QIT654881:QIT654883 PYX654881:PYX654883 PPB654881:PPB654883 PFF654881:PFF654883 OVJ654881:OVJ654883 OLN654881:OLN654883 OBR654881:OBR654883 NRV654881:NRV654883 NHZ654881:NHZ654883 MYD654881:MYD654883 MOH654881:MOH654883 MEL654881:MEL654883 LUP654881:LUP654883 LKT654881:LKT654883 LAX654881:LAX654883 KRB654881:KRB654883 KHF654881:KHF654883 JXJ654881:JXJ654883 JNN654881:JNN654883 JDR654881:JDR654883 ITV654881:ITV654883 IJZ654881:IJZ654883 IAD654881:IAD654883 HQH654881:HQH654883 HGL654881:HGL654883 GWP654881:GWP654883 GMT654881:GMT654883 GCX654881:GCX654883 FTB654881:FTB654883 FJF654881:FJF654883 EZJ654881:EZJ654883 EPN654881:EPN654883 EFR654881:EFR654883 DVV654881:DVV654883 DLZ654881:DLZ654883 DCD654881:DCD654883 CSH654881:CSH654883 CIL654881:CIL654883 BYP654881:BYP654883 BOT654881:BOT654883 BEX654881:BEX654883 AVB654881:AVB654883 ALF654881:ALF654883 ABJ654881:ABJ654883 RN654881:RN654883 HR654881:HR654883 WUD589345:WUD589347 WKH589345:WKH589347 WAL589345:WAL589347 VQP589345:VQP589347 VGT589345:VGT589347 UWX589345:UWX589347 UNB589345:UNB589347 UDF589345:UDF589347 TTJ589345:TTJ589347 TJN589345:TJN589347 SZR589345:SZR589347 SPV589345:SPV589347 SFZ589345:SFZ589347 RWD589345:RWD589347 RMH589345:RMH589347 RCL589345:RCL589347 QSP589345:QSP589347 QIT589345:QIT589347 PYX589345:PYX589347 PPB589345:PPB589347 PFF589345:PFF589347 OVJ589345:OVJ589347 OLN589345:OLN589347 OBR589345:OBR589347 NRV589345:NRV589347 NHZ589345:NHZ589347 MYD589345:MYD589347 MOH589345:MOH589347 MEL589345:MEL589347 LUP589345:LUP589347 LKT589345:LKT589347 LAX589345:LAX589347 KRB589345:KRB589347 KHF589345:KHF589347 JXJ589345:JXJ589347 JNN589345:JNN589347 JDR589345:JDR589347 ITV589345:ITV589347 IJZ589345:IJZ589347 IAD589345:IAD589347 HQH589345:HQH589347 HGL589345:HGL589347 GWP589345:GWP589347 GMT589345:GMT589347 GCX589345:GCX589347 FTB589345:FTB589347 FJF589345:FJF589347 EZJ589345:EZJ589347 EPN589345:EPN589347 EFR589345:EFR589347 DVV589345:DVV589347 DLZ589345:DLZ589347 DCD589345:DCD589347 CSH589345:CSH589347 CIL589345:CIL589347 BYP589345:BYP589347 BOT589345:BOT589347 BEX589345:BEX589347 AVB589345:AVB589347 ALF589345:ALF589347 ABJ589345:ABJ589347 RN589345:RN589347 HR589345:HR589347 WUD523809:WUD523811 WKH523809:WKH523811 WAL523809:WAL523811 VQP523809:VQP523811 VGT523809:VGT523811 UWX523809:UWX523811 UNB523809:UNB523811 UDF523809:UDF523811 TTJ523809:TTJ523811 TJN523809:TJN523811 SZR523809:SZR523811 SPV523809:SPV523811 SFZ523809:SFZ523811 RWD523809:RWD523811 RMH523809:RMH523811 RCL523809:RCL523811 QSP523809:QSP523811 QIT523809:QIT523811 PYX523809:PYX523811 PPB523809:PPB523811 PFF523809:PFF523811 OVJ523809:OVJ523811 OLN523809:OLN523811 OBR523809:OBR523811 NRV523809:NRV523811 NHZ523809:NHZ523811 MYD523809:MYD523811 MOH523809:MOH523811 MEL523809:MEL523811 LUP523809:LUP523811 LKT523809:LKT523811 LAX523809:LAX523811 KRB523809:KRB523811 KHF523809:KHF523811 JXJ523809:JXJ523811 JNN523809:JNN523811 JDR523809:JDR523811 ITV523809:ITV523811 IJZ523809:IJZ523811 IAD523809:IAD523811 HQH523809:HQH523811 HGL523809:HGL523811 GWP523809:GWP523811 GMT523809:GMT523811 GCX523809:GCX523811 FTB523809:FTB523811 FJF523809:FJF523811 EZJ523809:EZJ523811 EPN523809:EPN523811 EFR523809:EFR523811 DVV523809:DVV523811 DLZ523809:DLZ523811 DCD523809:DCD523811 CSH523809:CSH523811 CIL523809:CIL523811 BYP523809:BYP523811 BOT523809:BOT523811 BEX523809:BEX523811 AVB523809:AVB523811 ALF523809:ALF523811 ABJ523809:ABJ523811 RN523809:RN523811 HR523809:HR523811 WUD458273:WUD458275 WKH458273:WKH458275 WAL458273:WAL458275 VQP458273:VQP458275 VGT458273:VGT458275 UWX458273:UWX458275 UNB458273:UNB458275 UDF458273:UDF458275 TTJ458273:TTJ458275 TJN458273:TJN458275 SZR458273:SZR458275 SPV458273:SPV458275 SFZ458273:SFZ458275 RWD458273:RWD458275 RMH458273:RMH458275 RCL458273:RCL458275 QSP458273:QSP458275 QIT458273:QIT458275 PYX458273:PYX458275 PPB458273:PPB458275 PFF458273:PFF458275 OVJ458273:OVJ458275 OLN458273:OLN458275 OBR458273:OBR458275 NRV458273:NRV458275 NHZ458273:NHZ458275 MYD458273:MYD458275 MOH458273:MOH458275 MEL458273:MEL458275 LUP458273:LUP458275 LKT458273:LKT458275 LAX458273:LAX458275 KRB458273:KRB458275 KHF458273:KHF458275 JXJ458273:JXJ458275 JNN458273:JNN458275 JDR458273:JDR458275 ITV458273:ITV458275 IJZ458273:IJZ458275 IAD458273:IAD458275 HQH458273:HQH458275 HGL458273:HGL458275 GWP458273:GWP458275 GMT458273:GMT458275 GCX458273:GCX458275 FTB458273:FTB458275 FJF458273:FJF458275 EZJ458273:EZJ458275 EPN458273:EPN458275 EFR458273:EFR458275 DVV458273:DVV458275 DLZ458273:DLZ458275 DCD458273:DCD458275 CSH458273:CSH458275 CIL458273:CIL458275 BYP458273:BYP458275 BOT458273:BOT458275 BEX458273:BEX458275 AVB458273:AVB458275 ALF458273:ALF458275 ABJ458273:ABJ458275 RN458273:RN458275 HR458273:HR458275 WUD392737:WUD392739 WKH392737:WKH392739 WAL392737:WAL392739 VQP392737:VQP392739 VGT392737:VGT392739 UWX392737:UWX392739 UNB392737:UNB392739 UDF392737:UDF392739 TTJ392737:TTJ392739 TJN392737:TJN392739 SZR392737:SZR392739 SPV392737:SPV392739 SFZ392737:SFZ392739 RWD392737:RWD392739 RMH392737:RMH392739 RCL392737:RCL392739 QSP392737:QSP392739 QIT392737:QIT392739 PYX392737:PYX392739 PPB392737:PPB392739 PFF392737:PFF392739 OVJ392737:OVJ392739 OLN392737:OLN392739 OBR392737:OBR392739 NRV392737:NRV392739 NHZ392737:NHZ392739 MYD392737:MYD392739 MOH392737:MOH392739 MEL392737:MEL392739 LUP392737:LUP392739 LKT392737:LKT392739 LAX392737:LAX392739 KRB392737:KRB392739 KHF392737:KHF392739 JXJ392737:JXJ392739 JNN392737:JNN392739 JDR392737:JDR392739 ITV392737:ITV392739 IJZ392737:IJZ392739 IAD392737:IAD392739 HQH392737:HQH392739 HGL392737:HGL392739 GWP392737:GWP392739 GMT392737:GMT392739 GCX392737:GCX392739 FTB392737:FTB392739 FJF392737:FJF392739 EZJ392737:EZJ392739 EPN392737:EPN392739 EFR392737:EFR392739 DVV392737:DVV392739 DLZ392737:DLZ392739 DCD392737:DCD392739 CSH392737:CSH392739 CIL392737:CIL392739 BYP392737:BYP392739 BOT392737:BOT392739 BEX392737:BEX392739 AVB392737:AVB392739 ALF392737:ALF392739 ABJ392737:ABJ392739 RN392737:RN392739 HR392737:HR392739 WUD327201:WUD327203 WKH327201:WKH327203 WAL327201:WAL327203 VQP327201:VQP327203 VGT327201:VGT327203 UWX327201:UWX327203 UNB327201:UNB327203 UDF327201:UDF327203 TTJ327201:TTJ327203 TJN327201:TJN327203 SZR327201:SZR327203 SPV327201:SPV327203 SFZ327201:SFZ327203 RWD327201:RWD327203 RMH327201:RMH327203 RCL327201:RCL327203 QSP327201:QSP327203 QIT327201:QIT327203 PYX327201:PYX327203 PPB327201:PPB327203 PFF327201:PFF327203 OVJ327201:OVJ327203 OLN327201:OLN327203 OBR327201:OBR327203 NRV327201:NRV327203 NHZ327201:NHZ327203 MYD327201:MYD327203 MOH327201:MOH327203 MEL327201:MEL327203 LUP327201:LUP327203 LKT327201:LKT327203 LAX327201:LAX327203 KRB327201:KRB327203 KHF327201:KHF327203 JXJ327201:JXJ327203 JNN327201:JNN327203 JDR327201:JDR327203 ITV327201:ITV327203 IJZ327201:IJZ327203 IAD327201:IAD327203 HQH327201:HQH327203 HGL327201:HGL327203 GWP327201:GWP327203 GMT327201:GMT327203 GCX327201:GCX327203 FTB327201:FTB327203 FJF327201:FJF327203 EZJ327201:EZJ327203 EPN327201:EPN327203 EFR327201:EFR327203 DVV327201:DVV327203 DLZ327201:DLZ327203 DCD327201:DCD327203 CSH327201:CSH327203 CIL327201:CIL327203 BYP327201:BYP327203 BOT327201:BOT327203 BEX327201:BEX327203 AVB327201:AVB327203 ALF327201:ALF327203 ABJ327201:ABJ327203 RN327201:RN327203 HR327201:HR327203 WUD261665:WUD261667 WKH261665:WKH261667 WAL261665:WAL261667 VQP261665:VQP261667 VGT261665:VGT261667 UWX261665:UWX261667 UNB261665:UNB261667 UDF261665:UDF261667 TTJ261665:TTJ261667 TJN261665:TJN261667 SZR261665:SZR261667 SPV261665:SPV261667 SFZ261665:SFZ261667 RWD261665:RWD261667 RMH261665:RMH261667 RCL261665:RCL261667 QSP261665:QSP261667 QIT261665:QIT261667 PYX261665:PYX261667 PPB261665:PPB261667 PFF261665:PFF261667 OVJ261665:OVJ261667 OLN261665:OLN261667 OBR261665:OBR261667 NRV261665:NRV261667 NHZ261665:NHZ261667 MYD261665:MYD261667 MOH261665:MOH261667 MEL261665:MEL261667 LUP261665:LUP261667 LKT261665:LKT261667 LAX261665:LAX261667 KRB261665:KRB261667 KHF261665:KHF261667 JXJ261665:JXJ261667 JNN261665:JNN261667 JDR261665:JDR261667 ITV261665:ITV261667 IJZ261665:IJZ261667 IAD261665:IAD261667 HQH261665:HQH261667 HGL261665:HGL261667 GWP261665:GWP261667 GMT261665:GMT261667 GCX261665:GCX261667 FTB261665:FTB261667 FJF261665:FJF261667 EZJ261665:EZJ261667 EPN261665:EPN261667 EFR261665:EFR261667 DVV261665:DVV261667 DLZ261665:DLZ261667 DCD261665:DCD261667 CSH261665:CSH261667 CIL261665:CIL261667 BYP261665:BYP261667 BOT261665:BOT261667 BEX261665:BEX261667 AVB261665:AVB261667 ALF261665:ALF261667 ABJ261665:ABJ261667 RN261665:RN261667 HR261665:HR261667 WUD196129:WUD196131 WKH196129:WKH196131 WAL196129:WAL196131 VQP196129:VQP196131 VGT196129:VGT196131 UWX196129:UWX196131 UNB196129:UNB196131 UDF196129:UDF196131 TTJ196129:TTJ196131 TJN196129:TJN196131 SZR196129:SZR196131 SPV196129:SPV196131 SFZ196129:SFZ196131 RWD196129:RWD196131 RMH196129:RMH196131 RCL196129:RCL196131 QSP196129:QSP196131 QIT196129:QIT196131 PYX196129:PYX196131 PPB196129:PPB196131 PFF196129:PFF196131 OVJ196129:OVJ196131 OLN196129:OLN196131 OBR196129:OBR196131 NRV196129:NRV196131 NHZ196129:NHZ196131 MYD196129:MYD196131 MOH196129:MOH196131 MEL196129:MEL196131 LUP196129:LUP196131 LKT196129:LKT196131 LAX196129:LAX196131 KRB196129:KRB196131 KHF196129:KHF196131 JXJ196129:JXJ196131 JNN196129:JNN196131 JDR196129:JDR196131 ITV196129:ITV196131 IJZ196129:IJZ196131 IAD196129:IAD196131 HQH196129:HQH196131 HGL196129:HGL196131 GWP196129:GWP196131 GMT196129:GMT196131 GCX196129:GCX196131 FTB196129:FTB196131 FJF196129:FJF196131 EZJ196129:EZJ196131 EPN196129:EPN196131 EFR196129:EFR196131 DVV196129:DVV196131 DLZ196129:DLZ196131 DCD196129:DCD196131 CSH196129:CSH196131 CIL196129:CIL196131 BYP196129:BYP196131 BOT196129:BOT196131 BEX196129:BEX196131 AVB196129:AVB196131 ALF196129:ALF196131 ABJ196129:ABJ196131 RN196129:RN196131 HR196129:HR196131 WUD130593:WUD130595 WKH130593:WKH130595 WAL130593:WAL130595 VQP130593:VQP130595 VGT130593:VGT130595 UWX130593:UWX130595 UNB130593:UNB130595 UDF130593:UDF130595 TTJ130593:TTJ130595 TJN130593:TJN130595 SZR130593:SZR130595 SPV130593:SPV130595 SFZ130593:SFZ130595 RWD130593:RWD130595 RMH130593:RMH130595 RCL130593:RCL130595 QSP130593:QSP130595 QIT130593:QIT130595 PYX130593:PYX130595 PPB130593:PPB130595 PFF130593:PFF130595 OVJ130593:OVJ130595 OLN130593:OLN130595 OBR130593:OBR130595 NRV130593:NRV130595 NHZ130593:NHZ130595 MYD130593:MYD130595 MOH130593:MOH130595 MEL130593:MEL130595 LUP130593:LUP130595 LKT130593:LKT130595 LAX130593:LAX130595 KRB130593:KRB130595 KHF130593:KHF130595 JXJ130593:JXJ130595 JNN130593:JNN130595 JDR130593:JDR130595 ITV130593:ITV130595 IJZ130593:IJZ130595 IAD130593:IAD130595 HQH130593:HQH130595 HGL130593:HGL130595 GWP130593:GWP130595 GMT130593:GMT130595 GCX130593:GCX130595 FTB130593:FTB130595 FJF130593:FJF130595 EZJ130593:EZJ130595 EPN130593:EPN130595 EFR130593:EFR130595 DVV130593:DVV130595 DLZ130593:DLZ130595 DCD130593:DCD130595 CSH130593:CSH130595 CIL130593:CIL130595 BYP130593:BYP130595 BOT130593:BOT130595 BEX130593:BEX130595 AVB130593:AVB130595 ALF130593:ALF130595 ABJ130593:ABJ130595 RN130593:RN130595 HR130593:HR130595 WUD65057:WUD65059 WKH65057:WKH65059 WAL65057:WAL65059 VQP65057:VQP65059 VGT65057:VGT65059 UWX65057:UWX65059 UNB65057:UNB65059 UDF65057:UDF65059 TTJ65057:TTJ65059 TJN65057:TJN65059 SZR65057:SZR65059 SPV65057:SPV65059 SFZ65057:SFZ65059 RWD65057:RWD65059 RMH65057:RMH65059 RCL65057:RCL65059 QSP65057:QSP65059 QIT65057:QIT65059 PYX65057:PYX65059 PPB65057:PPB65059 PFF65057:PFF65059 OVJ65057:OVJ65059 OLN65057:OLN65059 OBR65057:OBR65059 NRV65057:NRV65059 NHZ65057:NHZ65059 MYD65057:MYD65059 MOH65057:MOH65059 MEL65057:MEL65059 LUP65057:LUP65059 LKT65057:LKT65059 LAX65057:LAX65059 KRB65057:KRB65059 KHF65057:KHF65059 JXJ65057:JXJ65059 JNN65057:JNN65059 JDR65057:JDR65059 ITV65057:ITV65059 IJZ65057:IJZ65059 IAD65057:IAD65059 HQH65057:HQH65059 HGL65057:HGL65059 GWP65057:GWP65059 GMT65057:GMT65059 GCX65057:GCX65059 FTB65057:FTB65059 FJF65057:FJF65059 EZJ65057:EZJ65059 EPN65057:EPN65059 EFR65057:EFR65059 DVV65057:DVV65059 DLZ65057:DLZ65059 DCD65057:DCD65059 CSH65057:CSH65059 CIL65057:CIL65059 BYP65057:BYP65059 BOT65057:BOT65059 BEX65057:BEX65059 AVB65057:AVB65059 ALF65057:ALF65059 ABJ65057:ABJ65059 RN65057:RN65059 HR65057:HR65059 WUD983821 WKH983821 WAL983821 VQP983821 VGT983821 UWX983821 UNB983821 UDF983821 TTJ983821 TJN983821 SZR983821 SPV983821 SFZ983821 RWD983821 RMH983821 RCL983821 QSP983821 QIT983821 PYX983821 PPB983821 PFF983821 OVJ983821 OLN983821 OBR983821 NRV983821 NHZ983821 MYD983821 MOH983821 MEL983821 LUP983821 LKT983821 LAX983821 KRB983821 KHF983821 JXJ983821 JNN983821 JDR983821 ITV983821 IJZ983821 IAD983821 HQH983821 HGL983821 GWP983821 GMT983821 GCX983821 FTB983821 FJF983821 EZJ983821 EPN983821 EFR983821 DVV983821 DLZ983821 DCD983821 CSH983821 CIL983821 BYP983821 BOT983821 BEX983821 AVB983821 ALF983821 ABJ983821 RN983821 HR983821 WUD918285 WKH918285 WAL918285 VQP918285 VGT918285 UWX918285 UNB918285 UDF918285 TTJ918285 TJN918285 SZR918285 SPV918285 SFZ918285 RWD918285 RMH918285 RCL918285 QSP918285 QIT918285 PYX918285 PPB918285 PFF918285 OVJ918285 OLN918285 OBR918285 NRV918285 NHZ918285 MYD918285 MOH918285 MEL918285 LUP918285 LKT918285 LAX918285 KRB918285 KHF918285 JXJ918285 JNN918285 JDR918285 ITV918285 IJZ918285 IAD918285 HQH918285 HGL918285 GWP918285 GMT918285 GCX918285 FTB918285 FJF918285 EZJ918285 EPN918285 EFR918285 DVV918285 DLZ918285 DCD918285 CSH918285 CIL918285 BYP918285 BOT918285 BEX918285 AVB918285 ALF918285 ABJ918285 RN918285 HR918285 WUD852749 WKH852749 WAL852749 VQP852749 VGT852749 UWX852749 UNB852749 UDF852749 TTJ852749 TJN852749 SZR852749 SPV852749 SFZ852749 RWD852749 RMH852749 RCL852749 QSP852749 QIT852749 PYX852749 PPB852749 PFF852749 OVJ852749 OLN852749 OBR852749 NRV852749 NHZ852749 MYD852749 MOH852749 MEL852749 LUP852749 LKT852749 LAX852749 KRB852749 KHF852749 JXJ852749 JNN852749 JDR852749 ITV852749 IJZ852749 IAD852749 HQH852749 HGL852749 GWP852749 GMT852749 GCX852749 FTB852749 FJF852749 EZJ852749 EPN852749 EFR852749 DVV852749 DLZ852749 DCD852749 CSH852749 CIL852749 BYP852749 BOT852749 BEX852749 AVB852749 ALF852749 ABJ852749 RN852749 HR852749 WUD787213 WKH787213 WAL787213 VQP787213 VGT787213 UWX787213 UNB787213 UDF787213 TTJ787213 TJN787213 SZR787213 SPV787213 SFZ787213 RWD787213 RMH787213 RCL787213 QSP787213 QIT787213 PYX787213 PPB787213 PFF787213 OVJ787213 OLN787213 OBR787213 NRV787213 NHZ787213 MYD787213 MOH787213 MEL787213 LUP787213 LKT787213 LAX787213 KRB787213 KHF787213 JXJ787213 JNN787213 JDR787213 ITV787213 IJZ787213 IAD787213 HQH787213 HGL787213 GWP787213 GMT787213 GCX787213 FTB787213 FJF787213 EZJ787213 EPN787213 EFR787213 DVV787213 DLZ787213 DCD787213 CSH787213 CIL787213 BYP787213 BOT787213 BEX787213 AVB787213 ALF787213 ABJ787213 RN787213 HR787213 WUD721677 WKH721677 WAL721677 VQP721677 VGT721677 UWX721677 UNB721677 UDF721677 TTJ721677 TJN721677 SZR721677 SPV721677 SFZ721677 RWD721677 RMH721677 RCL721677 QSP721677 QIT721677 PYX721677 PPB721677 PFF721677 OVJ721677 OLN721677 OBR721677 NRV721677 NHZ721677 MYD721677 MOH721677 MEL721677 LUP721677 LKT721677 LAX721677 KRB721677 KHF721677 JXJ721677 JNN721677 JDR721677 ITV721677 IJZ721677 IAD721677 HQH721677 HGL721677 GWP721677 GMT721677 GCX721677 FTB721677 FJF721677 EZJ721677 EPN721677 EFR721677 DVV721677 DLZ721677 DCD721677 CSH721677 CIL721677 BYP721677 BOT721677 BEX721677 AVB721677 ALF721677 ABJ721677 RN721677 HR721677 WUD656141 WKH656141 WAL656141 VQP656141 VGT656141 UWX656141 UNB656141 UDF656141 TTJ656141 TJN656141 SZR656141 SPV656141 SFZ656141 RWD656141 RMH656141 RCL656141 QSP656141 QIT656141 PYX656141 PPB656141 PFF656141 OVJ656141 OLN656141 OBR656141 NRV656141 NHZ656141 MYD656141 MOH656141 MEL656141 LUP656141 LKT656141 LAX656141 KRB656141 KHF656141 JXJ656141 JNN656141 JDR656141 ITV656141 IJZ656141 IAD656141 HQH656141 HGL656141 GWP656141 GMT656141 GCX656141 FTB656141 FJF656141 EZJ656141 EPN656141 EFR656141 DVV656141 DLZ656141 DCD656141 CSH656141 CIL656141 BYP656141 BOT656141 BEX656141 AVB656141 ALF656141 ABJ656141 RN656141 HR656141 WUD590605 WKH590605 WAL590605 VQP590605 VGT590605 UWX590605 UNB590605 UDF590605 TTJ590605 TJN590605 SZR590605 SPV590605 SFZ590605 RWD590605 RMH590605 RCL590605 QSP590605 QIT590605 PYX590605 PPB590605 PFF590605 OVJ590605 OLN590605 OBR590605 NRV590605 NHZ590605 MYD590605 MOH590605 MEL590605 LUP590605 LKT590605 LAX590605 KRB590605 KHF590605 JXJ590605 JNN590605 JDR590605 ITV590605 IJZ590605 IAD590605 HQH590605 HGL590605 GWP590605 GMT590605 GCX590605 FTB590605 FJF590605 EZJ590605 EPN590605 EFR590605 DVV590605 DLZ590605 DCD590605 CSH590605 CIL590605 BYP590605 BOT590605 BEX590605 AVB590605 ALF590605 ABJ590605 RN590605 HR590605 WUD525069 WKH525069 WAL525069 VQP525069 VGT525069 UWX525069 UNB525069 UDF525069 TTJ525069 TJN525069 SZR525069 SPV525069 SFZ525069 RWD525069 RMH525069 RCL525069 QSP525069 QIT525069 PYX525069 PPB525069 PFF525069 OVJ525069 OLN525069 OBR525069 NRV525069 NHZ525069 MYD525069 MOH525069 MEL525069 LUP525069 LKT525069 LAX525069 KRB525069 KHF525069 JXJ525069 JNN525069 JDR525069 ITV525069 IJZ525069 IAD525069 HQH525069 HGL525069 GWP525069 GMT525069 GCX525069 FTB525069 FJF525069 EZJ525069 EPN525069 EFR525069 DVV525069 DLZ525069 DCD525069 CSH525069 CIL525069 BYP525069 BOT525069 BEX525069 AVB525069 ALF525069 ABJ525069 RN525069 HR525069 WUD459533 WKH459533 WAL459533 VQP459533 VGT459533 UWX459533 UNB459533 UDF459533 TTJ459533 TJN459533 SZR459533 SPV459533 SFZ459533 RWD459533 RMH459533 RCL459533 QSP459533 QIT459533 PYX459533 PPB459533 PFF459533 OVJ459533 OLN459533 OBR459533 NRV459533 NHZ459533 MYD459533 MOH459533 MEL459533 LUP459533 LKT459533 LAX459533 KRB459533 KHF459533 JXJ459533 JNN459533 JDR459533 ITV459533 IJZ459533 IAD459533 HQH459533 HGL459533 GWP459533 GMT459533 GCX459533 FTB459533 FJF459533 EZJ459533 EPN459533 EFR459533 DVV459533 DLZ459533 DCD459533 CSH459533 CIL459533 BYP459533 BOT459533 BEX459533 AVB459533 ALF459533 ABJ459533 RN459533 HR459533 WUD393997 WKH393997 WAL393997 VQP393997 VGT393997 UWX393997 UNB393997 UDF393997 TTJ393997 TJN393997 SZR393997 SPV393997 SFZ393997 RWD393997 RMH393997 RCL393997 QSP393997 QIT393997 PYX393997 PPB393997 PFF393997 OVJ393997 OLN393997 OBR393997 NRV393997 NHZ393997 MYD393997 MOH393997 MEL393997 LUP393997 LKT393997 LAX393997 KRB393997 KHF393997 JXJ393997 JNN393997 JDR393997 ITV393997 IJZ393997 IAD393997 HQH393997 HGL393997 GWP393997 GMT393997 GCX393997 FTB393997 FJF393997 EZJ393997 EPN393997 EFR393997 DVV393997 DLZ393997 DCD393997 CSH393997 CIL393997 BYP393997 BOT393997 BEX393997 AVB393997 ALF393997 ABJ393997 RN393997 HR393997 WUD328461 WKH328461 WAL328461 VQP328461 VGT328461 UWX328461 UNB328461 UDF328461 TTJ328461 TJN328461 SZR328461 SPV328461 SFZ328461 RWD328461 RMH328461 RCL328461 QSP328461 QIT328461 PYX328461 PPB328461 PFF328461 OVJ328461 OLN328461 OBR328461 NRV328461 NHZ328461 MYD328461 MOH328461 MEL328461 LUP328461 LKT328461 LAX328461 KRB328461 KHF328461 JXJ328461 JNN328461 JDR328461 ITV328461 IJZ328461 IAD328461 HQH328461 HGL328461 GWP328461 GMT328461 GCX328461 FTB328461 FJF328461 EZJ328461 EPN328461 EFR328461 DVV328461 DLZ328461 DCD328461 CSH328461 CIL328461 BYP328461 BOT328461 BEX328461 AVB328461 ALF328461 ABJ328461 RN328461 HR328461 WUD262925 WKH262925 WAL262925 VQP262925 VGT262925 UWX262925 UNB262925 UDF262925 TTJ262925 TJN262925 SZR262925 SPV262925 SFZ262925 RWD262925 RMH262925 RCL262925 QSP262925 QIT262925 PYX262925 PPB262925 PFF262925 OVJ262925 OLN262925 OBR262925 NRV262925 NHZ262925 MYD262925 MOH262925 MEL262925 LUP262925 LKT262925 LAX262925 KRB262925 KHF262925 JXJ262925 JNN262925 JDR262925 ITV262925 IJZ262925 IAD262925 HQH262925 HGL262925 GWP262925 GMT262925 GCX262925 FTB262925 FJF262925 EZJ262925 EPN262925 EFR262925 DVV262925 DLZ262925 DCD262925 CSH262925 CIL262925 BYP262925 BOT262925 BEX262925 AVB262925 ALF262925 ABJ262925 RN262925 HR262925 WUD197389 WKH197389 WAL197389 VQP197389 VGT197389 UWX197389 UNB197389 UDF197389 TTJ197389 TJN197389 SZR197389 SPV197389 SFZ197389 RWD197389 RMH197389 RCL197389 QSP197389 QIT197389 PYX197389 PPB197389 PFF197389 OVJ197389 OLN197389 OBR197389 NRV197389 NHZ197389 MYD197389 MOH197389 MEL197389 LUP197389 LKT197389 LAX197389 KRB197389 KHF197389 JXJ197389 JNN197389 JDR197389 ITV197389 IJZ197389 IAD197389 HQH197389 HGL197389 GWP197389 GMT197389 GCX197389 FTB197389 FJF197389 EZJ197389 EPN197389 EFR197389 DVV197389 DLZ197389 DCD197389 CSH197389 CIL197389 BYP197389 BOT197389 BEX197389 AVB197389 ALF197389 ABJ197389 RN197389 HR197389 WUD131853 WKH131853 WAL131853 VQP131853 VGT131853 UWX131853 UNB131853 UDF131853 TTJ131853 TJN131853 SZR131853 SPV131853 SFZ131853 RWD131853 RMH131853 RCL131853 QSP131853 QIT131853 PYX131853 PPB131853 PFF131853 OVJ131853 OLN131853 OBR131853 NRV131853 NHZ131853 MYD131853 MOH131853 MEL131853 LUP131853 LKT131853 LAX131853 KRB131853 KHF131853 JXJ131853 JNN131853 JDR131853 ITV131853 IJZ131853 IAD131853 HQH131853 HGL131853 GWP131853 GMT131853 GCX131853 FTB131853 FJF131853 EZJ131853 EPN131853 EFR131853 DVV131853 DLZ131853 DCD131853 CSH131853 CIL131853 BYP131853 BOT131853 BEX131853 AVB131853 ALF131853 ABJ131853 RN131853 HR131853 WUD66317 WKH66317 WAL66317 VQP66317 VGT66317 UWX66317 UNB66317 UDF66317 TTJ66317 TJN66317 SZR66317 SPV66317 SFZ66317 RWD66317 RMH66317 RCL66317 QSP66317 QIT66317 PYX66317 PPB66317 PFF66317 OVJ66317 OLN66317 OBR66317 NRV66317 NHZ66317 MYD66317 MOH66317 MEL66317 LUP66317 LKT66317 LAX66317 KRB66317 KHF66317 JXJ66317 JNN66317 JDR66317 ITV66317 IJZ66317 IAD66317 HQH66317 HGL66317 GWP66317 GMT66317 GCX66317 FTB66317 FJF66317 EZJ66317 EPN66317 EFR66317 DVV66317 DLZ66317 DCD66317 CSH66317 CIL66317 BYP66317 BOT66317 BEX66317 AVB66317 ALF66317 ABJ66317 RN66317 RN785 ABJ785 ALF785 AVB785 BEX785 BOT785 BYP785 CIL785 CSH785 DCD785 DLZ785 DVV785 EFR785 EPN785 EZJ785 FJF785 FTB785 GCX785 GMT785 GWP785 HGL785 HQH785 IAD785 IJZ785 ITV785 JDR785 JNN785 JXJ785 KHF785 KRB785 LAX785 LKT785 LUP785 MEL785 MOH785 MYD785 NHZ785 NRV785 OBR785 OLN785 OVJ785 PFF785 PPB785 PYX785 QIT785 QSP785 RCL785 RMH785 RWD785 SFZ785 SPV785 SZR785 TJN785 TTJ785 UDF785 UNB785 UWX785 VGT785 VQP785 WAL785 WKH785 WUD785 HR785 RN422 ABJ422 ALF422 AVB422 BEX422 BOT422 BYP422 CIL422 CSH422 DCD422 DLZ422 DVV422 EFR422 EPN422 EZJ422 FJF422 FTB422 GCX422 GMT422 GWP422 HGL422 HQH422 IAD422 IJZ422 ITV422 JDR422 JNN422 JXJ422 KHF422 KRB422 LAX422 LKT422 LUP422 MEL422 MOH422 MYD422 NHZ422 NRV422 OBR422 OLN422 OVJ422 PFF422 PPB422 PYX422 QIT422 QSP422 RCL422 RMH422 RWD422 SFZ422 SPV422 SZR422 TJN422 TTJ422 UDF422 UNB422 UWX422 VGT422 VQP422 WAL422 WKH422 WUD422 HR422 WUD275 WKH275 WAL275 VQP275 VGT275 UWX275 UNB275 UDF275 TTJ275 TJN275 SZR275 SPV275 SFZ275 RWD275 RMH275 RCL275 QSP275 QIT275 PYX275 PPB275 PFF275 OVJ275 OLN275 OBR275 NRV275 NHZ275 MYD275 MOH275 MEL275 LUP275 LKT275 LAX275 KRB275 KHF275 JXJ275 JNN275 JDR275 ITV275 IJZ275 IAD275 HQH275 HGL275 GWP275 GMT275 GCX275 FTB275 FJF275 EZJ275 EPN275 EFR275 DVV275 DLZ275 DCD275 CSH275 CIL275 BYP275 BOT275 BEX275 AVB275 ALF275 ABJ275 RN275 HR275 WUD190:WUD192 WKH190:WKH192 WAL190:WAL192 VQP190:VQP192 VGT190:VGT192 UWX190:UWX192 UNB190:UNB192 UDF190:UDF192 TTJ190:TTJ192 TJN190:TJN192 SZR190:SZR192 SPV190:SPV192 SFZ190:SFZ192 RWD190:RWD192 RMH190:RMH192 RCL190:RCL192 QSP190:QSP192 QIT190:QIT192 PYX190:PYX192 PPB190:PPB192 PFF190:PFF192 OVJ190:OVJ192 OLN190:OLN192 OBR190:OBR192 NRV190:NRV192 NHZ190:NHZ192 MYD190:MYD192 MOH190:MOH192 MEL190:MEL192 LUP190:LUP192 LKT190:LKT192 LAX190:LAX192 KRB190:KRB192 KHF190:KHF192 JXJ190:JXJ192 JNN190:JNN192 JDR190:JDR192 ITV190:ITV192 IJZ190:IJZ192 IAD190:IAD192 HQH190:HQH192 HGL190:HGL192 GWP190:GWP192 GMT190:GMT192 GCX190:GCX192 FTB190:FTB192 FJF190:FJF192 EZJ190:EZJ192 EPN190:EPN192 EFR190:EFR192 DVV190:DVV192 DLZ190:DLZ192 DCD190:DCD192 CSH190:CSH192 CIL190:CIL192 BYP190:BYP192 BOT190:BOT192 BEX190:BEX192 AVB190:AVB192 ALF190:ALF192 ABJ190:ABJ192 RN190:RN192 HR190:HR192 WUD169 WKH169 WAL169 VQP169 VGT169 UWX169 UNB169 UDF169 TTJ169 TJN169 SZR169 SPV169 SFZ169 RWD169 RMH169 RCL169 QSP169 QIT169 PYX169 PPB169 PFF169 OVJ169 OLN169 OBR169 NRV169 NHZ169 MYD169 MOH169 MEL169 LUP169 LKT169 LAX169 KRB169 KHF169 JXJ169 JNN169 JDR169 ITV169 IJZ169 IAD169 HQH169 HGL169 GWP169 GMT169 GCX169 FTB169 FJF169 EZJ169 EPN169 EFR169 DVV169 DLZ169 DCD169 CSH169 CIL169 BYP169 BOT169 BEX169 AVB169 ALF169 ABJ169 RN169 HR169 HR29 RN29 ABJ29 ALF29 AVB29 BEX29 BOT29 BYP29 CIL29 CSH29 DCD29 DLZ29 DVV29 EFR29 EPN29 EZJ29 FJF29 FTB29 GCX29 GMT29 GWP29 HGL29 HQH29 IAD29 IJZ29 ITV29 JDR29 JNN29 JXJ29 KHF29 KRB29 LAX29 LKT29 LUP29 MEL29 MOH29 MYD29 NHZ29 NRV29 OBR29 OLN29 OVJ29 PFF29 PPB29 PYX29 QIT29 QSP29 RCL29 RMH29 RWD29 SFZ29 SPV29 SZR29 TJN29 TTJ29 UDF29 UNB29 UWX29 VGT29 VQP29 WAL29 WKH29 WUD29 D54 D29 D169 D190:D192 D275 D422 D785 D66317 D983800:D983806 D918264:D918270 D852728:D852734 D787192:D787198 D721656:D721662 D656120:D656126 D590584:D590590 D525048:D525054 D459512:D459518 D393976:D393982 D328440:D328446 D262904:D262910 D197368:D197374 D131832:D131838 D66296:D66302 D983381:D983391 D917845:D917855 D852309:D852319 D786773:D786783 D721237:D721247 D655701:D655711 D590165:D590175 D524629:D524639 D459093:D459103 D393557:D393567 D328021:D328031 D262485:D262495 D196949:D196959 D131413:D131423 D65877:D65887 D983274:D983278 D917738:D917742 D852202:D852206 D786666:D786670 D721130:D721134 D655594:D655598 D590058:D590062 D524522:D524526 D458986:D458990 D393450:D393454 D327914:D327918 D262378:D262382 D196842:D196846 D131306:D131310 D65770:D65774 D982813:D982818 D917277:D917282 D851741:D851746 D786205:D786210 D720669:D720674 D655133:D655138 D589597:D589602 D524061:D524066 D458525:D458530 D392989:D392994 D327453:D327458 D261917:D261922 D196381:D196386 D130845:D130850 D65309:D65314 D982764 D917228 D851692 D786156 D720620 D655084 D589548 D524012 D458476 D392940 D327404 D261868 D196332 D130796 D65260 D982902:D982903 D917366:D917367 D851830:D851831 D786294:D786295 D720758:D720759 D655222:D655223 D589686:D589687 D524150:D524151 D458614:D458615 D393078:D393079 D327542:D327543 D262006:D262007 D196470:D196471 D130934:D130935 D65398:D65399 D982923:D982924 D917387:D917388 D851851:D851852 D786315:D786316 D720779:D720780 D655243:D655244 D589707:D589708 D524171:D524172 D458635:D458636 D393099:D393100 D327563:D327564 D262027:D262028 D196491:D196492 D130955:D130956 D65419:D65420 D982933:D982934 D917397:D917398 D851861:D851862 D786325:D786326 D720789:D720790 D655253:D655254 D589717:D589718 D524181:D524182 D458645:D458646 D393109:D393110 D327573:D327574 D262037:D262038 D196501:D196502 D130965:D130966 D65429:D65430 D982957 D917421 D851885 D786349 D720813 D655277 D589741 D524205 D458669 D393133 D327597 D262061 D196525 D130989 D65453 D983011 D917475 D851939 D786403 D720867 D655331 D589795 D524259 D458723 D393187 D327651 D262115 D196579 D131043 D65507 D983193 D917657 D852121 D786585 D721049 D655513 D589977 D524441 D458905 D393369 D327833 D262297 D196761 D131225 D65689 D983304 D917768 D852232 D786696 D721160 D655624 D590088 D524552 D459016 D393480 D327944 D262408 D196872 D131336 D65800 D983763 D918227 D852691 D787155 D721619 D656083 D590547 D525011 D459475 D393939 D328403 D262867 D197331 D131795 D66259 D982561:D982563 D917025:D917027 D851489:D851491 D785953:D785955 D720417:D720419 D654881:D654883 D589345:D589347 D523809:D523811 D458273:D458275 D392737:D392739 D327201:D327203 D261665:D261667 D196129:D196131 D130593:D130595 D65057:D65059 D983821 D918285 D852749 D787213 D721677 D656141 D590605 D525069 D459533 D393997 D328461 D262925 D197389 D131853 WUD809:WUD816 WKH809:WKH816 WAL809:WAL816 VQP809:VQP816 VGT809:VGT816 UWX809:UWX816 UNB809:UNB816 UDF809:UDF816 TTJ809:TTJ816 TJN809:TJN816 SZR809:SZR816 SPV809:SPV816 SFZ809:SFZ816 RWD809:RWD816 RMH809:RMH816 RCL809:RCL816 QSP809:QSP816 QIT809:QIT816 PYX809:PYX816 PPB809:PPB816 PFF809:PFF816 OVJ809:OVJ816 OLN809:OLN816 OBR809:OBR816 NRV809:NRV816 NHZ809:NHZ816 MYD809:MYD816 MOH809:MOH816 MEL809:MEL816 LUP809:LUP816 LKT809:LKT816 LAX809:LAX816 KRB809:KRB816 KHF809:KHF816 JXJ809:JXJ816 JNN809:JNN816 JDR809:JDR816 ITV809:ITV816 IJZ809:IJZ816 IAD809:IAD816 HQH809:HQH816 HGL809:HGL816 GWP809:GWP816 GMT809:GMT816 GCX809:GCX816 FTB809:FTB816 FJF809:FJF816 EZJ809:EZJ816 EPN809:EPN816 EFR809:EFR816 DVV809:DVV816 DLZ809:DLZ816 DCD809:DCD816 CSH809:CSH816 CIL809:CIL816 BYP809:BYP816 BOT809:BOT816 BEX809:BEX816 AVB809:AVB816 ALF809:ALF816 ABJ809:ABJ816 RN809:RN816 HR809:HR816 D809:D816 WUD532:WUD536 WKH532:WKH536 WAL532:WAL536 VQP532:VQP536 VGT532:VGT536 UWX532:UWX536 UNB532:UNB536 UDF532:UDF536 TTJ532:TTJ536 TJN532:TJN536 SZR532:SZR536 SPV532:SPV536 SFZ532:SFZ536 RWD532:RWD536 RMH532:RMH536 RCL532:RCL536 QSP532:QSP536 QIT532:QIT536 PYX532:PYX536 PPB532:PPB536 PFF532:PFF536 OVJ532:OVJ536 OLN532:OLN536 OBR532:OBR536 NRV532:NRV536 NHZ532:NHZ536 MYD532:MYD536 MOH532:MOH536 MEL532:MEL536 LUP532:LUP536 LKT532:LKT536 LAX532:LAX536 KRB532:KRB536 KHF532:KHF536 JXJ532:JXJ536 JNN532:JNN536 JDR532:JDR536 ITV532:ITV536 IJZ532:IJZ536 IAD532:IAD536 HQH532:HQH536 HGL532:HGL536 GWP532:GWP536 GMT532:GMT536 GCX532:GCX536 FTB532:FTB536 FJF532:FJF536 EZJ532:EZJ536 EPN532:EPN536 EFR532:EFR536 DVV532:DVV536 DLZ532:DLZ536 DCD532:DCD536 CSH532:CSH536 CIL532:CIL536 BYP532:BYP536 BOT532:BOT536 BEX532:BEX536 AVB532:AVB536 ALF532:ALF536 ABJ532:ABJ536 RN532:RN536 HR532:HR536 D532:D536 D476:D481 WUD476:WUD481 WKH476:WKH481 WAL476:WAL481 VQP476:VQP481 VGT476:VGT481 UWX476:UWX481 UNB476:UNB481 UDF476:UDF481 TTJ476:TTJ481 TJN476:TJN481 SZR476:SZR481 SPV476:SPV481 SFZ476:SFZ481 RWD476:RWD481 RMH476:RMH481 RCL476:RCL481 QSP476:QSP481 QIT476:QIT481 PYX476:PYX481 PPB476:PPB481 PFF476:PFF481 OVJ476:OVJ481 OLN476:OLN481 OBR476:OBR481 NRV476:NRV481 NHZ476:NHZ481 MYD476:MYD481 MOH476:MOH481 MEL476:MEL481 LUP476:LUP481 LKT476:LKT481 LAX476:LAX481 KRB476:KRB481 KHF476:KHF481 JXJ476:JXJ481 JNN476:JNN481 JDR476:JDR481 ITV476:ITV481 IJZ476:IJZ481 IAD476:IAD481 HQH476:HQH481 HGL476:HGL481 GWP476:GWP481 GMT476:GMT481 GCX476:GCX481 FTB476:FTB481 FJF476:FJF481 EZJ476:EZJ481 EPN476:EPN481 EFR476:EFR481 DVV476:DVV481 DLZ476:DLZ481 DCD476:DCD481 CSH476:CSH481 CIL476:CIL481 BYP476:BYP481 BOT476:BOT481 BEX476:BEX481 AVB476:AVB481 ALF476:ALF481 ABJ476:ABJ481 RN476:RN481 HR476:HR481 D260 HR260 RN260 ABJ260 ALF260 AVB260 BEX260 BOT260 BYP260 CIL260 CSH260 DCD260 DLZ260 DVV260 EFR260 EPN260 EZJ260 FJF260 FTB260 GCX260 GMT260 GWP260 HGL260 HQH260 IAD260 IJZ260 ITV260 JDR260 JNN260 JXJ260 KHF260 KRB260 LAX260 LKT260 LUP260 MEL260 MOH260 MYD260 NHZ260 NRV260 OBR260 OLN260 OVJ260 PFF260 PPB260 PYX260 QIT260 QSP260 RCL260 RMH260 RWD260 SFZ260 SPV260 SZR260 TJN260 TTJ260 UDF260 UNB260 UWX260 VGT260 VQP260 WAL260 WKH260 WUD260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Реестр</vt:lpstr>
      <vt:lpstr>Реестр!Область_печати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2020-01-23T03:08:40Z</dcterms:modified>
</cp:coreProperties>
</file>